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11882323475\Desktop\Processos\3 - GECOMP\19 - 0036.109115.2022-75 - Ambulância (Licitatório)\5 - 0036.109115.2022-75 - 4º Ajuste\"/>
    </mc:Choice>
  </mc:AlternateContent>
  <bookViews>
    <workbookView xWindow="0" yWindow="0" windowWidth="14295" windowHeight="11700" tabRatio="869" firstSheet="4" activeTab="12"/>
  </bookViews>
  <sheets>
    <sheet name="Plan2" sheetId="2" state="hidden" r:id="rId1"/>
    <sheet name="Plan3" sheetId="3" state="hidden" r:id="rId2"/>
    <sheet name="Planilha" sheetId="87" r:id="rId3"/>
    <sheet name="Motorista - Diurno" sheetId="11" r:id="rId4"/>
    <sheet name="Motorista - Noturno" sheetId="67" r:id="rId5"/>
    <sheet name="Técnico de Enfermagem - Diurno" sheetId="88" r:id="rId6"/>
    <sheet name="Técnico de Enfermagem - Noturno" sheetId="89" r:id="rId7"/>
    <sheet name="Enfermeiro - Diurno" sheetId="83" r:id="rId8"/>
    <sheet name="Enfermeiro - Noturno" sheetId="84" r:id="rId9"/>
    <sheet name="Médico - Diurno " sheetId="85" r:id="rId10"/>
    <sheet name="Médico - Noturno" sheetId="86" r:id="rId11"/>
    <sheet name="Uniformes" sheetId="82" r:id="rId12"/>
    <sheet name="Materiais" sheetId="90" r:id="rId13"/>
    <sheet name="Equipamentos" sheetId="59" r:id="rId14"/>
  </sheets>
  <definedNames>
    <definedName name="_xlnm.Print_Area" localSheetId="7">'Enfermeiro - Diurno'!$A$1:$E$111</definedName>
    <definedName name="_xlnm.Print_Area" localSheetId="8">'Enfermeiro - Noturno'!$A$1:$E$112</definedName>
    <definedName name="_xlnm.Print_Area" localSheetId="13">Equipamentos!$A$1:$H$36</definedName>
    <definedName name="_xlnm.Print_Area" localSheetId="12">Materiais!$A$1:$H$28</definedName>
    <definedName name="_xlnm.Print_Area" localSheetId="9">'Médico - Diurno '!$A$1:$E$122</definedName>
    <definedName name="_xlnm.Print_Area" localSheetId="10">'Médico - Noturno'!$A$1:$E$122</definedName>
    <definedName name="_xlnm.Print_Area" localSheetId="3">'Motorista - Diurno'!$A$1:$G$111</definedName>
    <definedName name="_xlnm.Print_Area" localSheetId="4">'Motorista - Noturno'!$A$1:$G$112</definedName>
    <definedName name="_xlnm.Print_Area" localSheetId="2">Planilha!$A$1:$H$36</definedName>
    <definedName name="_xlnm.Print_Area" localSheetId="5">'Técnico de Enfermagem - Diurno'!$A$1:$E$112</definedName>
    <definedName name="_xlnm.Print_Area" localSheetId="6">'Técnico de Enfermagem - Noturno'!$A$1:$E$112</definedName>
    <definedName name="_xlnm.Print_Area" localSheetId="11">Uniformes!$A$1:$H$22</definedName>
    <definedName name="_xlnm.Print_Titles" localSheetId="7">'Enfermeiro - Diurno'!$1:$1</definedName>
    <definedName name="_xlnm.Print_Titles" localSheetId="8">'Enfermeiro - Noturno'!$1:$1</definedName>
    <definedName name="_xlnm.Print_Titles" localSheetId="9">'Médico - Diurno '!$1:$1</definedName>
    <definedName name="_xlnm.Print_Titles" localSheetId="10">'Médico - Noturno'!$1:$1</definedName>
    <definedName name="_xlnm.Print_Titles" localSheetId="3">'Motorista - Diurno'!$1:$1</definedName>
    <definedName name="_xlnm.Print_Titles" localSheetId="4">'Motorista - Noturno'!$1:$1</definedName>
    <definedName name="_xlnm.Print_Titles" localSheetId="5">'Técnico de Enfermagem - Diurno'!$1:$1</definedName>
    <definedName name="_xlnm.Print_Titles" localSheetId="6">'Técnico de Enfermagem - Noturno'!$1:$1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90" l="1"/>
  <c r="H20" i="90"/>
  <c r="H19" i="90"/>
  <c r="H18" i="90"/>
  <c r="H16" i="90"/>
  <c r="H15" i="90"/>
  <c r="H14" i="90"/>
  <c r="H12" i="90"/>
  <c r="G15" i="90"/>
  <c r="G14" i="90"/>
  <c r="G12" i="90"/>
  <c r="F12" i="90"/>
  <c r="E15" i="90"/>
  <c r="E14" i="90"/>
  <c r="E12" i="90"/>
  <c r="H8" i="90"/>
  <c r="H7" i="90"/>
  <c r="H6" i="90"/>
  <c r="H4" i="90"/>
  <c r="G7" i="90"/>
  <c r="G6" i="90"/>
  <c r="G4" i="90"/>
  <c r="F4" i="90"/>
  <c r="E7" i="90"/>
  <c r="E6" i="90"/>
  <c r="E4" i="90"/>
  <c r="C12" i="86" l="1"/>
  <c r="C12" i="85"/>
  <c r="G42" i="11"/>
  <c r="G17" i="67" l="1"/>
  <c r="F17" i="67"/>
  <c r="G17" i="11"/>
  <c r="F17" i="11"/>
  <c r="H7" i="82" l="1"/>
  <c r="E3" i="82" l="1"/>
  <c r="G3" i="82" s="1"/>
  <c r="H3" i="82" s="1"/>
  <c r="E19" i="88" l="1"/>
  <c r="D19" i="88"/>
  <c r="G44" i="67"/>
  <c r="F44" i="67"/>
  <c r="E44" i="67"/>
  <c r="D44" i="67"/>
  <c r="G43" i="11"/>
  <c r="F43" i="11"/>
  <c r="E43" i="11"/>
  <c r="D43" i="11"/>
  <c r="E6" i="82" l="1"/>
  <c r="G6" i="82" s="1"/>
  <c r="H6" i="82" s="1"/>
  <c r="E5" i="82"/>
  <c r="G5" i="82" s="1"/>
  <c r="H5" i="82" s="1"/>
  <c r="E4" i="82"/>
  <c r="G4" i="82" s="1"/>
  <c r="H4" i="82" s="1"/>
  <c r="C64" i="88" l="1"/>
  <c r="C63" i="11" l="1"/>
  <c r="F14" i="59" l="1"/>
  <c r="G14" i="59" s="1"/>
  <c r="H14" i="59" s="1"/>
  <c r="F12" i="59"/>
  <c r="G12" i="59" s="1"/>
  <c r="H12" i="59" s="1"/>
  <c r="F5" i="59"/>
  <c r="G5" i="59" s="1"/>
  <c r="H5" i="59" s="1"/>
  <c r="F3" i="59"/>
  <c r="G3" i="59" s="1"/>
  <c r="H3" i="59" s="1"/>
  <c r="G16" i="59"/>
  <c r="E19" i="86"/>
  <c r="D19" i="86"/>
  <c r="E19" i="85"/>
  <c r="D19" i="85"/>
  <c r="E19" i="84"/>
  <c r="D19" i="84"/>
  <c r="E19" i="83"/>
  <c r="D19" i="83"/>
  <c r="E19" i="89"/>
  <c r="D19" i="89"/>
  <c r="G19" i="67"/>
  <c r="E19" i="67"/>
  <c r="F19" i="67"/>
  <c r="D19" i="67"/>
  <c r="G19" i="11"/>
  <c r="E19" i="11"/>
  <c r="F19" i="11"/>
  <c r="D19" i="11"/>
  <c r="E84" i="11" l="1"/>
  <c r="D84" i="11"/>
  <c r="H16" i="59"/>
  <c r="H17" i="59" s="1"/>
  <c r="D73" i="86"/>
  <c r="D43" i="86"/>
  <c r="D17" i="86"/>
  <c r="D45" i="86" s="1"/>
  <c r="D47" i="86" s="1"/>
  <c r="D51" i="86" s="1"/>
  <c r="D73" i="85"/>
  <c r="D43" i="85"/>
  <c r="D17" i="85"/>
  <c r="D45" i="85" s="1"/>
  <c r="D47" i="85" s="1"/>
  <c r="D51" i="85" s="1"/>
  <c r="D17" i="89"/>
  <c r="D46" i="89" s="1"/>
  <c r="D17" i="88"/>
  <c r="D46" i="88" s="1"/>
  <c r="D48" i="88" s="1"/>
  <c r="D52" i="88" s="1"/>
  <c r="D24" i="88" l="1"/>
  <c r="D28" i="88" s="1"/>
  <c r="G84" i="11"/>
  <c r="F84" i="11"/>
  <c r="D24" i="85"/>
  <c r="D104" i="85" s="1"/>
  <c r="H22" i="59"/>
  <c r="H21" i="59"/>
  <c r="D85" i="89"/>
  <c r="D85" i="88"/>
  <c r="D85" i="67"/>
  <c r="E85" i="89"/>
  <c r="E85" i="88"/>
  <c r="E85" i="67"/>
  <c r="D105" i="88"/>
  <c r="D60" i="88"/>
  <c r="D59" i="88"/>
  <c r="D56" i="88"/>
  <c r="D20" i="86"/>
  <c r="D24" i="86" s="1"/>
  <c r="D48" i="89"/>
  <c r="D52" i="89" s="1"/>
  <c r="D20" i="89"/>
  <c r="D24" i="89" s="1"/>
  <c r="D17" i="67"/>
  <c r="D72" i="11"/>
  <c r="D73" i="11" s="1"/>
  <c r="D17" i="11"/>
  <c r="D28" i="85" l="1"/>
  <c r="D55" i="85"/>
  <c r="D56" i="85"/>
  <c r="D57" i="85"/>
  <c r="D58" i="85"/>
  <c r="D59" i="85"/>
  <c r="D57" i="88"/>
  <c r="D61" i="88" s="1"/>
  <c r="D107" i="88" s="1"/>
  <c r="D58" i="88"/>
  <c r="D85" i="86"/>
  <c r="F86" i="67"/>
  <c r="D86" i="84"/>
  <c r="D85" i="83"/>
  <c r="D85" i="85"/>
  <c r="F85" i="11"/>
  <c r="E85" i="86"/>
  <c r="G86" i="67"/>
  <c r="E85" i="85"/>
  <c r="E86" i="84"/>
  <c r="G85" i="11"/>
  <c r="E85" i="83"/>
  <c r="D24" i="11"/>
  <c r="D56" i="11" s="1"/>
  <c r="D45" i="11"/>
  <c r="D47" i="11" s="1"/>
  <c r="D51" i="11" s="1"/>
  <c r="D20" i="67"/>
  <c r="D24" i="67" s="1"/>
  <c r="D46" i="67"/>
  <c r="D48" i="67" s="1"/>
  <c r="D52" i="67" s="1"/>
  <c r="D84" i="86"/>
  <c r="D84" i="85"/>
  <c r="D85" i="84"/>
  <c r="D84" i="83"/>
  <c r="F85" i="67"/>
  <c r="E84" i="86"/>
  <c r="E84" i="85"/>
  <c r="E85" i="84"/>
  <c r="E84" i="83"/>
  <c r="G85" i="67"/>
  <c r="D104" i="86"/>
  <c r="D59" i="86"/>
  <c r="D58" i="86"/>
  <c r="D57" i="86"/>
  <c r="D56" i="86"/>
  <c r="D55" i="86"/>
  <c r="D28" i="86"/>
  <c r="D105" i="89"/>
  <c r="D60" i="89"/>
  <c r="D59" i="89"/>
  <c r="D58" i="89"/>
  <c r="D57" i="89"/>
  <c r="D56" i="89"/>
  <c r="D61" i="89" s="1"/>
  <c r="D107" i="89" s="1"/>
  <c r="D28" i="89"/>
  <c r="D17" i="84"/>
  <c r="D46" i="84" s="1"/>
  <c r="D73" i="83"/>
  <c r="D43" i="83"/>
  <c r="D17" i="83"/>
  <c r="D45" i="83" s="1"/>
  <c r="F72" i="11"/>
  <c r="F73" i="11" s="1"/>
  <c r="F45" i="11"/>
  <c r="G7" i="59"/>
  <c r="H7" i="59" s="1"/>
  <c r="H8" i="59" s="1"/>
  <c r="C102" i="89"/>
  <c r="C94" i="89" s="1"/>
  <c r="C74" i="89"/>
  <c r="C70" i="89"/>
  <c r="C78" i="89" s="1"/>
  <c r="C80" i="89" s="1"/>
  <c r="C40" i="89"/>
  <c r="C27" i="89"/>
  <c r="E17" i="89"/>
  <c r="C102" i="88"/>
  <c r="C94" i="88" s="1"/>
  <c r="C74" i="88"/>
  <c r="C70" i="88"/>
  <c r="C78" i="88" s="1"/>
  <c r="C80" i="88" s="1"/>
  <c r="C40" i="88"/>
  <c r="C27" i="88"/>
  <c r="E17" i="88"/>
  <c r="D58" i="11" l="1"/>
  <c r="D59" i="11"/>
  <c r="D104" i="11"/>
  <c r="D57" i="11"/>
  <c r="D28" i="11"/>
  <c r="D55" i="11"/>
  <c r="D60" i="11" s="1"/>
  <c r="D106" i="11" s="1"/>
  <c r="D60" i="85"/>
  <c r="D106" i="85" s="1"/>
  <c r="D24" i="83"/>
  <c r="D57" i="83" s="1"/>
  <c r="D47" i="83"/>
  <c r="D51" i="83" s="1"/>
  <c r="D60" i="86"/>
  <c r="D106" i="86" s="1"/>
  <c r="H20" i="59"/>
  <c r="H19" i="59"/>
  <c r="F20" i="67"/>
  <c r="F24" i="67" s="1"/>
  <c r="F46" i="67"/>
  <c r="F48" i="67" s="1"/>
  <c r="F52" i="67" s="1"/>
  <c r="F47" i="11"/>
  <c r="F51" i="11" s="1"/>
  <c r="F24" i="11"/>
  <c r="F58" i="11" s="1"/>
  <c r="D48" i="84"/>
  <c r="D52" i="84" s="1"/>
  <c r="D105" i="67"/>
  <c r="D60" i="67"/>
  <c r="D59" i="67"/>
  <c r="D58" i="67"/>
  <c r="D57" i="67"/>
  <c r="D56" i="67"/>
  <c r="D28" i="67"/>
  <c r="C29" i="89"/>
  <c r="D27" i="89"/>
  <c r="D29" i="89" s="1"/>
  <c r="D50" i="89" s="1"/>
  <c r="C29" i="88"/>
  <c r="D27" i="88"/>
  <c r="D29" i="88" s="1"/>
  <c r="D50" i="88" s="1"/>
  <c r="D20" i="84"/>
  <c r="D24" i="84" s="1"/>
  <c r="E46" i="89"/>
  <c r="E48" i="89" s="1"/>
  <c r="E52" i="89" s="1"/>
  <c r="E20" i="89"/>
  <c r="E24" i="89" s="1"/>
  <c r="E46" i="88"/>
  <c r="E48" i="88" s="1"/>
  <c r="E52" i="88" s="1"/>
  <c r="E24" i="88"/>
  <c r="D58" i="83" l="1"/>
  <c r="D59" i="83"/>
  <c r="D104" i="83"/>
  <c r="D28" i="83"/>
  <c r="D55" i="83"/>
  <c r="D56" i="83"/>
  <c r="D86" i="67"/>
  <c r="D86" i="89"/>
  <c r="D86" i="88"/>
  <c r="D85" i="11"/>
  <c r="E86" i="67"/>
  <c r="E85" i="11"/>
  <c r="E86" i="89"/>
  <c r="E86" i="88"/>
  <c r="F59" i="11"/>
  <c r="D61" i="67"/>
  <c r="D107" i="67" s="1"/>
  <c r="F104" i="11"/>
  <c r="F28" i="11"/>
  <c r="F55" i="11"/>
  <c r="F56" i="11"/>
  <c r="F57" i="11"/>
  <c r="D105" i="84"/>
  <c r="D60" i="84"/>
  <c r="D59" i="84"/>
  <c r="D58" i="84"/>
  <c r="D57" i="84"/>
  <c r="D56" i="84"/>
  <c r="D28" i="84"/>
  <c r="D39" i="89"/>
  <c r="D38" i="89"/>
  <c r="D37" i="89"/>
  <c r="D36" i="89"/>
  <c r="D35" i="89"/>
  <c r="D34" i="89"/>
  <c r="D33" i="89"/>
  <c r="D32" i="89"/>
  <c r="D32" i="88"/>
  <c r="D33" i="88"/>
  <c r="D34" i="88"/>
  <c r="D35" i="88"/>
  <c r="D36" i="88"/>
  <c r="D37" i="88"/>
  <c r="D38" i="88"/>
  <c r="D39" i="88"/>
  <c r="F105" i="67"/>
  <c r="F60" i="67"/>
  <c r="F59" i="67"/>
  <c r="F58" i="67"/>
  <c r="F57" i="67"/>
  <c r="F56" i="67"/>
  <c r="F28" i="67"/>
  <c r="E105" i="89"/>
  <c r="E60" i="89"/>
  <c r="E59" i="89"/>
  <c r="E58" i="89"/>
  <c r="E57" i="89"/>
  <c r="E56" i="89"/>
  <c r="E28" i="89"/>
  <c r="E27" i="89"/>
  <c r="E105" i="88"/>
  <c r="E60" i="88"/>
  <c r="E59" i="88"/>
  <c r="E58" i="88"/>
  <c r="E57" i="88"/>
  <c r="E56" i="88"/>
  <c r="E28" i="88"/>
  <c r="E27" i="88"/>
  <c r="E29" i="89" l="1"/>
  <c r="E61" i="88"/>
  <c r="E107" i="88" s="1"/>
  <c r="D60" i="83"/>
  <c r="D106" i="83" s="1"/>
  <c r="D61" i="84"/>
  <c r="D107" i="84" s="1"/>
  <c r="D40" i="89"/>
  <c r="D51" i="89" s="1"/>
  <c r="D53" i="89" s="1"/>
  <c r="D106" i="89" s="1"/>
  <c r="E61" i="89"/>
  <c r="E107" i="89" s="1"/>
  <c r="E29" i="88"/>
  <c r="E50" i="88" s="1"/>
  <c r="F61" i="67"/>
  <c r="F107" i="67" s="1"/>
  <c r="F60" i="11"/>
  <c r="F106" i="11" s="1"/>
  <c r="D79" i="89"/>
  <c r="D73" i="89"/>
  <c r="D74" i="89" s="1"/>
  <c r="D40" i="88"/>
  <c r="D51" i="88" s="1"/>
  <c r="D53" i="88" s="1"/>
  <c r="E50" i="89"/>
  <c r="E39" i="89"/>
  <c r="E38" i="89"/>
  <c r="E37" i="89"/>
  <c r="E36" i="89"/>
  <c r="E35" i="89"/>
  <c r="E34" i="89"/>
  <c r="E33" i="89"/>
  <c r="E32" i="89"/>
  <c r="E39" i="88"/>
  <c r="E38" i="88"/>
  <c r="E37" i="88"/>
  <c r="E36" i="88" l="1"/>
  <c r="E32" i="88"/>
  <c r="E33" i="88"/>
  <c r="E34" i="88"/>
  <c r="E35" i="88"/>
  <c r="E40" i="89"/>
  <c r="E51" i="89" s="1"/>
  <c r="E53" i="89" s="1"/>
  <c r="E40" i="88"/>
  <c r="E51" i="88" s="1"/>
  <c r="E53" i="88" s="1"/>
  <c r="D106" i="88"/>
  <c r="D79" i="88"/>
  <c r="D73" i="88"/>
  <c r="D74" i="88" s="1"/>
  <c r="E106" i="89" l="1"/>
  <c r="E79" i="89"/>
  <c r="E73" i="89"/>
  <c r="E74" i="89" s="1"/>
  <c r="E106" i="88"/>
  <c r="E79" i="88"/>
  <c r="E73" i="88"/>
  <c r="E74" i="88" s="1"/>
  <c r="E73" i="83" l="1"/>
  <c r="E17" i="67"/>
  <c r="E72" i="11"/>
  <c r="E73" i="11"/>
  <c r="E17" i="11"/>
  <c r="E45" i="11" s="1"/>
  <c r="E46" i="67" l="1"/>
  <c r="E20" i="67"/>
  <c r="E47" i="11"/>
  <c r="E51" i="11" s="1"/>
  <c r="E24" i="11"/>
  <c r="E104" i="11" s="1"/>
  <c r="E48" i="67"/>
  <c r="E52" i="67" s="1"/>
  <c r="E55" i="11"/>
  <c r="E28" i="11"/>
  <c r="E24" i="67"/>
  <c r="C101" i="86"/>
  <c r="C93" i="86" s="1"/>
  <c r="E73" i="86"/>
  <c r="C69" i="86"/>
  <c r="C77" i="86" s="1"/>
  <c r="C79" i="86" s="1"/>
  <c r="E43" i="86"/>
  <c r="C40" i="86"/>
  <c r="C27" i="86"/>
  <c r="E17" i="86"/>
  <c r="C101" i="85"/>
  <c r="C93" i="85" s="1"/>
  <c r="E73" i="85"/>
  <c r="C69" i="85"/>
  <c r="C77" i="85" s="1"/>
  <c r="C79" i="85" s="1"/>
  <c r="E43" i="85"/>
  <c r="C40" i="85"/>
  <c r="C27" i="85"/>
  <c r="E17" i="85"/>
  <c r="C102" i="84"/>
  <c r="C94" i="84" s="1"/>
  <c r="C80" i="84"/>
  <c r="C74" i="84"/>
  <c r="C70" i="84"/>
  <c r="C40" i="84"/>
  <c r="C27" i="84"/>
  <c r="E17" i="84"/>
  <c r="C101" i="83"/>
  <c r="C93" i="83" s="1"/>
  <c r="C69" i="83"/>
  <c r="C77" i="83" s="1"/>
  <c r="C79" i="83" s="1"/>
  <c r="E43" i="83"/>
  <c r="C40" i="83"/>
  <c r="C27" i="83"/>
  <c r="D27" i="83" s="1"/>
  <c r="D29" i="83" s="1"/>
  <c r="E17" i="83"/>
  <c r="E56" i="11" l="1"/>
  <c r="C29" i="85"/>
  <c r="D27" i="85"/>
  <c r="D29" i="85" s="1"/>
  <c r="C29" i="86"/>
  <c r="D27" i="86"/>
  <c r="D29" i="86" s="1"/>
  <c r="C29" i="84"/>
  <c r="D27" i="84"/>
  <c r="D29" i="84" s="1"/>
  <c r="D50" i="84" s="1"/>
  <c r="D36" i="83"/>
  <c r="D35" i="83"/>
  <c r="D34" i="83"/>
  <c r="D33" i="83"/>
  <c r="D32" i="83"/>
  <c r="D38" i="83"/>
  <c r="D49" i="83"/>
  <c r="D39" i="83"/>
  <c r="D37" i="83"/>
  <c r="E57" i="11"/>
  <c r="E58" i="11"/>
  <c r="E59" i="11"/>
  <c r="E105" i="67"/>
  <c r="E60" i="67"/>
  <c r="E59" i="67"/>
  <c r="E58" i="67"/>
  <c r="E57" i="67"/>
  <c r="E56" i="67"/>
  <c r="E28" i="67"/>
  <c r="C29" i="83"/>
  <c r="E45" i="86"/>
  <c r="E20" i="86"/>
  <c r="E24" i="86" s="1"/>
  <c r="E47" i="86"/>
  <c r="E51" i="86" s="1"/>
  <c r="E45" i="85"/>
  <c r="E47" i="85" s="1"/>
  <c r="E51" i="85" s="1"/>
  <c r="E24" i="85"/>
  <c r="E46" i="84"/>
  <c r="E48" i="84" s="1"/>
  <c r="E52" i="84" s="1"/>
  <c r="E20" i="84"/>
  <c r="E24" i="84" s="1"/>
  <c r="E45" i="83"/>
  <c r="E47" i="83" s="1"/>
  <c r="E51" i="83" s="1"/>
  <c r="E24" i="83"/>
  <c r="E60" i="11" l="1"/>
  <c r="E106" i="11" s="1"/>
  <c r="D40" i="83"/>
  <c r="D50" i="83" s="1"/>
  <c r="D37" i="86"/>
  <c r="D36" i="86"/>
  <c r="D34" i="86"/>
  <c r="D49" i="86"/>
  <c r="D39" i="86"/>
  <c r="D38" i="86"/>
  <c r="D35" i="86"/>
  <c r="D33" i="86"/>
  <c r="D32" i="86"/>
  <c r="D37" i="85"/>
  <c r="D36" i="85"/>
  <c r="D38" i="85"/>
  <c r="D35" i="85"/>
  <c r="D34" i="85"/>
  <c r="D33" i="85"/>
  <c r="D32" i="85"/>
  <c r="D49" i="85"/>
  <c r="D39" i="85"/>
  <c r="D52" i="83"/>
  <c r="E61" i="67"/>
  <c r="E107" i="67" s="1"/>
  <c r="D39" i="84"/>
  <c r="D38" i="84"/>
  <c r="D37" i="84"/>
  <c r="D36" i="84"/>
  <c r="D35" i="84"/>
  <c r="D34" i="84"/>
  <c r="D33" i="84"/>
  <c r="D32" i="84"/>
  <c r="E104" i="86"/>
  <c r="E59" i="86"/>
  <c r="E58" i="86"/>
  <c r="E57" i="86"/>
  <c r="E56" i="86"/>
  <c r="E55" i="86"/>
  <c r="E60" i="86" s="1"/>
  <c r="E106" i="86" s="1"/>
  <c r="E28" i="86"/>
  <c r="E27" i="86"/>
  <c r="E104" i="85"/>
  <c r="E59" i="85"/>
  <c r="E58" i="85"/>
  <c r="E57" i="85"/>
  <c r="E56" i="85"/>
  <c r="E55" i="85"/>
  <c r="E60" i="85" s="1"/>
  <c r="E106" i="85" s="1"/>
  <c r="E28" i="85"/>
  <c r="E27" i="85"/>
  <c r="E29" i="85" s="1"/>
  <c r="E105" i="84"/>
  <c r="E60" i="84"/>
  <c r="E59" i="84"/>
  <c r="E58" i="84"/>
  <c r="E57" i="84"/>
  <c r="E56" i="84"/>
  <c r="E28" i="84"/>
  <c r="E27" i="84"/>
  <c r="E29" i="84" s="1"/>
  <c r="E104" i="83"/>
  <c r="E59" i="83"/>
  <c r="E58" i="83"/>
  <c r="E57" i="83"/>
  <c r="E56" i="83"/>
  <c r="E55" i="83"/>
  <c r="E60" i="83" s="1"/>
  <c r="E106" i="83" s="1"/>
  <c r="E28" i="83"/>
  <c r="E27" i="83"/>
  <c r="D40" i="86" l="1"/>
  <c r="D50" i="86" s="1"/>
  <c r="D78" i="83"/>
  <c r="D105" i="83"/>
  <c r="D40" i="84"/>
  <c r="D51" i="84" s="1"/>
  <c r="D53" i="84" s="1"/>
  <c r="D40" i="85"/>
  <c r="D50" i="85" s="1"/>
  <c r="D52" i="85" s="1"/>
  <c r="D52" i="86"/>
  <c r="E61" i="84"/>
  <c r="E107" i="84" s="1"/>
  <c r="E29" i="83"/>
  <c r="E39" i="83" s="1"/>
  <c r="E29" i="86"/>
  <c r="E49" i="86" s="1"/>
  <c r="D106" i="84"/>
  <c r="D79" i="84"/>
  <c r="D73" i="84"/>
  <c r="D74" i="84" s="1"/>
  <c r="E49" i="85"/>
  <c r="E39" i="85"/>
  <c r="E38" i="85"/>
  <c r="E37" i="85"/>
  <c r="E36" i="85"/>
  <c r="E35" i="85"/>
  <c r="E34" i="85"/>
  <c r="E33" i="85"/>
  <c r="E32" i="85"/>
  <c r="E50" i="84"/>
  <c r="E39" i="84"/>
  <c r="E38" i="84"/>
  <c r="E37" i="84"/>
  <c r="E36" i="84"/>
  <c r="E35" i="84"/>
  <c r="E34" i="84"/>
  <c r="E33" i="84"/>
  <c r="E32" i="84"/>
  <c r="E32" i="83"/>
  <c r="E33" i="83" l="1"/>
  <c r="E34" i="83"/>
  <c r="E35" i="83"/>
  <c r="D78" i="85"/>
  <c r="D105" i="85"/>
  <c r="E33" i="86"/>
  <c r="E40" i="85"/>
  <c r="E50" i="85" s="1"/>
  <c r="E32" i="86"/>
  <c r="E37" i="83"/>
  <c r="E34" i="86"/>
  <c r="E38" i="83"/>
  <c r="E35" i="86"/>
  <c r="E49" i="83"/>
  <c r="E37" i="86"/>
  <c r="E38" i="86"/>
  <c r="E36" i="83"/>
  <c r="D105" i="86"/>
  <c r="D78" i="86"/>
  <c r="E36" i="86"/>
  <c r="E40" i="84"/>
  <c r="E51" i="84" s="1"/>
  <c r="E53" i="84" s="1"/>
  <c r="E39" i="86"/>
  <c r="E52" i="85"/>
  <c r="E40" i="83" l="1"/>
  <c r="E50" i="83" s="1"/>
  <c r="E52" i="83" s="1"/>
  <c r="E40" i="86"/>
  <c r="E50" i="86" s="1"/>
  <c r="E52" i="86" s="1"/>
  <c r="E105" i="86" s="1"/>
  <c r="E105" i="85"/>
  <c r="E78" i="85"/>
  <c r="E106" i="84"/>
  <c r="E79" i="84"/>
  <c r="E73" i="84"/>
  <c r="E74" i="84" s="1"/>
  <c r="E105" i="83"/>
  <c r="E78" i="83"/>
  <c r="E78" i="86" l="1"/>
  <c r="G72" i="11"/>
  <c r="G73" i="11" s="1"/>
  <c r="G24" i="11" l="1"/>
  <c r="G57" i="11" s="1"/>
  <c r="G45" i="11"/>
  <c r="G47" i="11" s="1"/>
  <c r="G51" i="11" s="1"/>
  <c r="G59" i="11" l="1"/>
  <c r="G58" i="11"/>
  <c r="G28" i="11"/>
  <c r="G55" i="11"/>
  <c r="G60" i="11" s="1"/>
  <c r="G106" i="11" s="1"/>
  <c r="G56" i="11"/>
  <c r="G104" i="11"/>
  <c r="G20" i="67" l="1"/>
  <c r="G46" i="67"/>
  <c r="G48" i="67" s="1"/>
  <c r="G52" i="67" s="1"/>
  <c r="E83" i="86"/>
  <c r="C74" i="67"/>
  <c r="F84" i="67" l="1"/>
  <c r="E84" i="67"/>
  <c r="E88" i="67" s="1"/>
  <c r="E109" i="67" s="1"/>
  <c r="G84" i="67"/>
  <c r="E83" i="11"/>
  <c r="E87" i="11" s="1"/>
  <c r="E108" i="11" s="1"/>
  <c r="E84" i="88"/>
  <c r="E65" i="88" s="1"/>
  <c r="G83" i="11"/>
  <c r="G87" i="11" s="1"/>
  <c r="G108" i="11" s="1"/>
  <c r="E84" i="89"/>
  <c r="E88" i="89" s="1"/>
  <c r="F83" i="11"/>
  <c r="F87" i="11" s="1"/>
  <c r="E83" i="83"/>
  <c r="E67" i="83" s="1"/>
  <c r="D83" i="83"/>
  <c r="D63" i="83" s="1"/>
  <c r="D84" i="84"/>
  <c r="D65" i="84" s="1"/>
  <c r="E84" i="84"/>
  <c r="E64" i="84" s="1"/>
  <c r="D83" i="86"/>
  <c r="D83" i="85"/>
  <c r="D84" i="89"/>
  <c r="D84" i="88"/>
  <c r="D84" i="67"/>
  <c r="D88" i="67" s="1"/>
  <c r="D109" i="67" s="1"/>
  <c r="D83" i="11"/>
  <c r="E83" i="85"/>
  <c r="E66" i="85" s="1"/>
  <c r="F88" i="67"/>
  <c r="E69" i="88"/>
  <c r="E67" i="88"/>
  <c r="E64" i="88"/>
  <c r="E68" i="86"/>
  <c r="E67" i="86"/>
  <c r="E66" i="86"/>
  <c r="E65" i="86"/>
  <c r="E64" i="86"/>
  <c r="E63" i="86"/>
  <c r="E87" i="86"/>
  <c r="C69" i="11"/>
  <c r="C77" i="11" s="1"/>
  <c r="E67" i="85" l="1"/>
  <c r="E68" i="85"/>
  <c r="E88" i="88"/>
  <c r="E109" i="88" s="1"/>
  <c r="D65" i="83"/>
  <c r="D66" i="83"/>
  <c r="D67" i="83"/>
  <c r="E87" i="83"/>
  <c r="E108" i="83" s="1"/>
  <c r="E64" i="89"/>
  <c r="D68" i="83"/>
  <c r="D87" i="83"/>
  <c r="D108" i="83" s="1"/>
  <c r="E67" i="89"/>
  <c r="E63" i="83"/>
  <c r="E64" i="83"/>
  <c r="E68" i="83"/>
  <c r="D64" i="83"/>
  <c r="E68" i="89"/>
  <c r="E65" i="89"/>
  <c r="E66" i="89"/>
  <c r="E65" i="84"/>
  <c r="E69" i="89"/>
  <c r="E87" i="85"/>
  <c r="E108" i="85" s="1"/>
  <c r="E63" i="85"/>
  <c r="E64" i="85"/>
  <c r="D66" i="84"/>
  <c r="E65" i="83"/>
  <c r="E66" i="88"/>
  <c r="E65" i="85"/>
  <c r="D67" i="84"/>
  <c r="E66" i="83"/>
  <c r="E68" i="88"/>
  <c r="E67" i="84"/>
  <c r="D69" i="84"/>
  <c r="E68" i="84"/>
  <c r="E69" i="84"/>
  <c r="D68" i="84"/>
  <c r="D88" i="84"/>
  <c r="D109" i="84" s="1"/>
  <c r="E66" i="84"/>
  <c r="D64" i="84"/>
  <c r="E88" i="84"/>
  <c r="E109" i="84" s="1"/>
  <c r="E69" i="86"/>
  <c r="E77" i="86" s="1"/>
  <c r="E79" i="86" s="1"/>
  <c r="E80" i="86" s="1"/>
  <c r="E107" i="86" s="1"/>
  <c r="D87" i="11"/>
  <c r="D88" i="88"/>
  <c r="D65" i="88"/>
  <c r="D69" i="88"/>
  <c r="D68" i="88"/>
  <c r="D67" i="88"/>
  <c r="D66" i="88"/>
  <c r="D64" i="88"/>
  <c r="D88" i="89"/>
  <c r="D69" i="89"/>
  <c r="D68" i="89"/>
  <c r="D67" i="89"/>
  <c r="D66" i="89"/>
  <c r="D65" i="89"/>
  <c r="D64" i="89"/>
  <c r="D68" i="85"/>
  <c r="D67" i="85"/>
  <c r="D66" i="85"/>
  <c r="D65" i="85"/>
  <c r="D64" i="85"/>
  <c r="D63" i="85"/>
  <c r="D87" i="85"/>
  <c r="D68" i="86"/>
  <c r="D67" i="86"/>
  <c r="D66" i="86"/>
  <c r="D65" i="86"/>
  <c r="D64" i="86"/>
  <c r="D63" i="86"/>
  <c r="D87" i="86"/>
  <c r="E108" i="86"/>
  <c r="E109" i="89"/>
  <c r="F109" i="67"/>
  <c r="F108" i="11"/>
  <c r="C70" i="67"/>
  <c r="C78" i="67" s="1"/>
  <c r="E70" i="84" l="1"/>
  <c r="E78" i="84" s="1"/>
  <c r="E80" i="84" s="1"/>
  <c r="E81" i="84" s="1"/>
  <c r="E108" i="84" s="1"/>
  <c r="E110" i="84" s="1"/>
  <c r="D69" i="83"/>
  <c r="D77" i="83" s="1"/>
  <c r="D79" i="83" s="1"/>
  <c r="D80" i="83" s="1"/>
  <c r="D107" i="83" s="1"/>
  <c r="D109" i="83" s="1"/>
  <c r="E70" i="89"/>
  <c r="E78" i="89" s="1"/>
  <c r="E80" i="89" s="1"/>
  <c r="E81" i="89" s="1"/>
  <c r="E108" i="89" s="1"/>
  <c r="E110" i="89" s="1"/>
  <c r="E70" i="88"/>
  <c r="E78" i="88" s="1"/>
  <c r="E80" i="88" s="1"/>
  <c r="E81" i="88" s="1"/>
  <c r="E108" i="88" s="1"/>
  <c r="E110" i="88" s="1"/>
  <c r="D70" i="84"/>
  <c r="D78" i="84" s="1"/>
  <c r="D80" i="84" s="1"/>
  <c r="D81" i="84" s="1"/>
  <c r="D108" i="84" s="1"/>
  <c r="D110" i="84" s="1"/>
  <c r="E69" i="85"/>
  <c r="E77" i="85" s="1"/>
  <c r="E79" i="85" s="1"/>
  <c r="E80" i="85" s="1"/>
  <c r="E107" i="85" s="1"/>
  <c r="E109" i="85" s="1"/>
  <c r="E69" i="83"/>
  <c r="E77" i="83" s="1"/>
  <c r="E79" i="83" s="1"/>
  <c r="E80" i="83" s="1"/>
  <c r="E107" i="83" s="1"/>
  <c r="E109" i="83" s="1"/>
  <c r="D69" i="85"/>
  <c r="D77" i="85" s="1"/>
  <c r="D79" i="85" s="1"/>
  <c r="D80" i="85" s="1"/>
  <c r="D107" i="85" s="1"/>
  <c r="D88" i="83"/>
  <c r="D91" i="83" s="1"/>
  <c r="D92" i="83" s="1"/>
  <c r="D93" i="83" s="1"/>
  <c r="D94" i="83" s="1"/>
  <c r="E88" i="86"/>
  <c r="E91" i="86" s="1"/>
  <c r="E92" i="86" s="1"/>
  <c r="E109" i="86"/>
  <c r="D69" i="86"/>
  <c r="D77" i="86" s="1"/>
  <c r="D79" i="86" s="1"/>
  <c r="D80" i="86" s="1"/>
  <c r="D107" i="86" s="1"/>
  <c r="D70" i="89"/>
  <c r="D78" i="89" s="1"/>
  <c r="D80" i="89" s="1"/>
  <c r="D81" i="89" s="1"/>
  <c r="D108" i="89" s="1"/>
  <c r="D70" i="88"/>
  <c r="D78" i="88" s="1"/>
  <c r="D80" i="88" s="1"/>
  <c r="D81" i="88" s="1"/>
  <c r="D108" i="88" s="1"/>
  <c r="D108" i="86"/>
  <c r="D108" i="85"/>
  <c r="D109" i="89"/>
  <c r="D109" i="88"/>
  <c r="D108" i="11"/>
  <c r="C102" i="67"/>
  <c r="C94" i="67" s="1"/>
  <c r="C40" i="67"/>
  <c r="C80" i="67" s="1"/>
  <c r="C27" i="67"/>
  <c r="D27" i="67" s="1"/>
  <c r="D29" i="67" s="1"/>
  <c r="D50" i="67" s="1"/>
  <c r="E89" i="88" l="1"/>
  <c r="E92" i="88" s="1"/>
  <c r="E93" i="88" s="1"/>
  <c r="E89" i="89"/>
  <c r="E92" i="89" s="1"/>
  <c r="E93" i="89" s="1"/>
  <c r="E94" i="89" s="1"/>
  <c r="E95" i="89" s="1"/>
  <c r="E101" i="89" s="1"/>
  <c r="D89" i="84"/>
  <c r="D92" i="84" s="1"/>
  <c r="D93" i="84" s="1"/>
  <c r="E88" i="83"/>
  <c r="E91" i="83" s="1"/>
  <c r="E92" i="83" s="1"/>
  <c r="E93" i="83" s="1"/>
  <c r="E94" i="83" s="1"/>
  <c r="E100" i="83" s="1"/>
  <c r="E89" i="84"/>
  <c r="E92" i="84" s="1"/>
  <c r="E88" i="85"/>
  <c r="E91" i="85" s="1"/>
  <c r="E92" i="85" s="1"/>
  <c r="E93" i="85" s="1"/>
  <c r="E94" i="85" s="1"/>
  <c r="E100" i="85" s="1"/>
  <c r="D88" i="85"/>
  <c r="D91" i="85" s="1"/>
  <c r="D92" i="85" s="1"/>
  <c r="D109" i="85"/>
  <c r="D110" i="88"/>
  <c r="D89" i="88"/>
  <c r="D92" i="88" s="1"/>
  <c r="D93" i="88" s="1"/>
  <c r="D94" i="88" s="1"/>
  <c r="D95" i="88" s="1"/>
  <c r="D88" i="86"/>
  <c r="D91" i="86" s="1"/>
  <c r="D92" i="86" s="1"/>
  <c r="D109" i="86"/>
  <c r="E93" i="86"/>
  <c r="E94" i="86" s="1"/>
  <c r="E100" i="86" s="1"/>
  <c r="D89" i="89"/>
  <c r="D92" i="89" s="1"/>
  <c r="D93" i="89" s="1"/>
  <c r="D94" i="89" s="1"/>
  <c r="D95" i="89" s="1"/>
  <c r="D110" i="89"/>
  <c r="E27" i="67"/>
  <c r="E29" i="67" s="1"/>
  <c r="F27" i="67"/>
  <c r="F29" i="67" s="1"/>
  <c r="D100" i="83"/>
  <c r="D97" i="83"/>
  <c r="D96" i="83"/>
  <c r="G24" i="67"/>
  <c r="C29" i="67"/>
  <c r="E94" i="88" l="1"/>
  <c r="E95" i="88" s="1"/>
  <c r="E97" i="88" s="1"/>
  <c r="E93" i="84"/>
  <c r="E94" i="84" s="1"/>
  <c r="E95" i="84" s="1"/>
  <c r="E98" i="84" s="1"/>
  <c r="D94" i="84"/>
  <c r="D95" i="84" s="1"/>
  <c r="D101" i="84" s="1"/>
  <c r="E97" i="85"/>
  <c r="E96" i="85"/>
  <c r="E96" i="83"/>
  <c r="E97" i="83"/>
  <c r="E101" i="83" s="1"/>
  <c r="E102" i="83" s="1"/>
  <c r="E110" i="83" s="1"/>
  <c r="E111" i="83" s="1"/>
  <c r="C32" i="87" s="1"/>
  <c r="D101" i="83"/>
  <c r="D102" i="83" s="1"/>
  <c r="D110" i="83" s="1"/>
  <c r="D111" i="83" s="1"/>
  <c r="C20" i="87" s="1"/>
  <c r="F20" i="87" s="1"/>
  <c r="G20" i="87" s="1"/>
  <c r="H20" i="87" s="1"/>
  <c r="E50" i="67"/>
  <c r="E35" i="67"/>
  <c r="E38" i="67"/>
  <c r="E32" i="67"/>
  <c r="E39" i="67"/>
  <c r="E33" i="67"/>
  <c r="E34" i="67"/>
  <c r="E37" i="67"/>
  <c r="E36" i="67"/>
  <c r="F50" i="67"/>
  <c r="F33" i="67"/>
  <c r="F35" i="67"/>
  <c r="F32" i="67"/>
  <c r="F36" i="67"/>
  <c r="F39" i="67"/>
  <c r="F38" i="67"/>
  <c r="F37" i="67"/>
  <c r="F34" i="67"/>
  <c r="E97" i="86"/>
  <c r="E96" i="86"/>
  <c r="E97" i="89"/>
  <c r="E98" i="89"/>
  <c r="D93" i="85"/>
  <c r="D94" i="85" s="1"/>
  <c r="D97" i="85" s="1"/>
  <c r="D93" i="86"/>
  <c r="D94" i="86" s="1"/>
  <c r="D100" i="86" s="1"/>
  <c r="D101" i="89"/>
  <c r="D98" i="89"/>
  <c r="D97" i="89"/>
  <c r="D101" i="88"/>
  <c r="D98" i="88"/>
  <c r="D97" i="88"/>
  <c r="D39" i="67"/>
  <c r="D38" i="67"/>
  <c r="D37" i="67"/>
  <c r="D36" i="67"/>
  <c r="D35" i="67"/>
  <c r="D34" i="67"/>
  <c r="D33" i="67"/>
  <c r="D32" i="67"/>
  <c r="G27" i="67"/>
  <c r="G28" i="67"/>
  <c r="G56" i="67"/>
  <c r="G57" i="67"/>
  <c r="G58" i="67"/>
  <c r="G59" i="67"/>
  <c r="G60" i="67"/>
  <c r="G105" i="67"/>
  <c r="G88" i="67"/>
  <c r="G109" i="67" s="1"/>
  <c r="E98" i="88" l="1"/>
  <c r="E101" i="88"/>
  <c r="E97" i="84"/>
  <c r="E101" i="84"/>
  <c r="E101" i="85"/>
  <c r="E102" i="85" s="1"/>
  <c r="E110" i="85" s="1"/>
  <c r="E111" i="85" s="1"/>
  <c r="C34" i="87" s="1"/>
  <c r="F34" i="87" s="1"/>
  <c r="G34" i="87" s="1"/>
  <c r="H34" i="87" s="1"/>
  <c r="D97" i="84"/>
  <c r="D98" i="84"/>
  <c r="F40" i="67"/>
  <c r="F51" i="67" s="1"/>
  <c r="F53" i="67" s="1"/>
  <c r="F64" i="67" s="1"/>
  <c r="E40" i="67"/>
  <c r="E51" i="67" s="1"/>
  <c r="E53" i="67" s="1"/>
  <c r="E106" i="67" s="1"/>
  <c r="E101" i="86"/>
  <c r="E102" i="86" s="1"/>
  <c r="E110" i="86" s="1"/>
  <c r="E111" i="86" s="1"/>
  <c r="C35" i="87" s="1"/>
  <c r="F35" i="87" s="1"/>
  <c r="G35" i="87" s="1"/>
  <c r="H35" i="87" s="1"/>
  <c r="D40" i="67"/>
  <c r="D51" i="67" s="1"/>
  <c r="D53" i="67" s="1"/>
  <c r="D106" i="67" s="1"/>
  <c r="D102" i="88"/>
  <c r="D103" i="88" s="1"/>
  <c r="D111" i="88" s="1"/>
  <c r="D112" i="88" s="1"/>
  <c r="C15" i="87" s="1"/>
  <c r="F15" i="87" s="1"/>
  <c r="G15" i="87" s="1"/>
  <c r="H15" i="87" s="1"/>
  <c r="F32" i="87"/>
  <c r="G32" i="87" s="1"/>
  <c r="H32" i="87" s="1"/>
  <c r="D96" i="86"/>
  <c r="D97" i="86"/>
  <c r="D100" i="85"/>
  <c r="D96" i="85"/>
  <c r="E102" i="89"/>
  <c r="E103" i="89" s="1"/>
  <c r="E111" i="89" s="1"/>
  <c r="E112" i="89" s="1"/>
  <c r="C28" i="87" s="1"/>
  <c r="D102" i="89"/>
  <c r="D103" i="89" s="1"/>
  <c r="D111" i="89" s="1"/>
  <c r="D112" i="89" s="1"/>
  <c r="C16" i="87" s="1"/>
  <c r="F79" i="67"/>
  <c r="F73" i="67"/>
  <c r="F74" i="67" s="1"/>
  <c r="F69" i="67"/>
  <c r="F68" i="67"/>
  <c r="F67" i="67"/>
  <c r="F66" i="67"/>
  <c r="F65" i="67"/>
  <c r="E68" i="67"/>
  <c r="G61" i="67"/>
  <c r="G107" i="67" s="1"/>
  <c r="G29" i="67"/>
  <c r="E102" i="88" l="1"/>
  <c r="E103" i="88" s="1"/>
  <c r="E111" i="88" s="1"/>
  <c r="E112" i="88" s="1"/>
  <c r="C27" i="87" s="1"/>
  <c r="F27" i="87" s="1"/>
  <c r="G27" i="87" s="1"/>
  <c r="H27" i="87" s="1"/>
  <c r="E102" i="84"/>
  <c r="E103" i="84" s="1"/>
  <c r="E111" i="84" s="1"/>
  <c r="E112" i="84" s="1"/>
  <c r="C33" i="87" s="1"/>
  <c r="F33" i="87" s="1"/>
  <c r="G33" i="87" s="1"/>
  <c r="H33" i="87" s="1"/>
  <c r="E64" i="67"/>
  <c r="E66" i="67"/>
  <c r="E65" i="67"/>
  <c r="E67" i="67"/>
  <c r="F106" i="67"/>
  <c r="E69" i="67"/>
  <c r="E73" i="67"/>
  <c r="E74" i="67" s="1"/>
  <c r="E79" i="67"/>
  <c r="D102" i="84"/>
  <c r="D103" i="84" s="1"/>
  <c r="D111" i="84" s="1"/>
  <c r="D112" i="84" s="1"/>
  <c r="C21" i="87" s="1"/>
  <c r="F21" i="87" s="1"/>
  <c r="G21" i="87" s="1"/>
  <c r="H21" i="87" s="1"/>
  <c r="D65" i="67"/>
  <c r="D64" i="67"/>
  <c r="D67" i="67"/>
  <c r="D69" i="67"/>
  <c r="D79" i="67"/>
  <c r="D66" i="67"/>
  <c r="D68" i="67"/>
  <c r="D73" i="67"/>
  <c r="D74" i="67" s="1"/>
  <c r="G34" i="67"/>
  <c r="G33" i="67"/>
  <c r="G32" i="67"/>
  <c r="D101" i="85"/>
  <c r="D102" i="85" s="1"/>
  <c r="D110" i="85" s="1"/>
  <c r="D111" i="85" s="1"/>
  <c r="C22" i="87" s="1"/>
  <c r="F22" i="87" s="1"/>
  <c r="G22" i="87" s="1"/>
  <c r="H22" i="87" s="1"/>
  <c r="F16" i="87"/>
  <c r="G16" i="87" s="1"/>
  <c r="H16" i="87" s="1"/>
  <c r="F28" i="87"/>
  <c r="G28" i="87" s="1"/>
  <c r="H28" i="87" s="1"/>
  <c r="D101" i="86"/>
  <c r="D102" i="86" s="1"/>
  <c r="D110" i="86" s="1"/>
  <c r="D111" i="86" s="1"/>
  <c r="C23" i="87" s="1"/>
  <c r="F70" i="67"/>
  <c r="F78" i="67" s="1"/>
  <c r="F80" i="67" s="1"/>
  <c r="F81" i="67" s="1"/>
  <c r="F108" i="67" s="1"/>
  <c r="G50" i="67"/>
  <c r="G35" i="67"/>
  <c r="G36" i="67"/>
  <c r="G37" i="67"/>
  <c r="G38" i="67"/>
  <c r="G39" i="67"/>
  <c r="E70" i="67" l="1"/>
  <c r="E78" i="67" s="1"/>
  <c r="E80" i="67" s="1"/>
  <c r="E81" i="67" s="1"/>
  <c r="E108" i="67" s="1"/>
  <c r="E110" i="67" s="1"/>
  <c r="F110" i="67"/>
  <c r="D70" i="67"/>
  <c r="D78" i="67" s="1"/>
  <c r="D80" i="67" s="1"/>
  <c r="D81" i="67" s="1"/>
  <c r="D108" i="67" s="1"/>
  <c r="D110" i="67" s="1"/>
  <c r="F23" i="87"/>
  <c r="G23" i="87" s="1"/>
  <c r="H23" i="87" s="1"/>
  <c r="F89" i="67"/>
  <c r="F92" i="67" s="1"/>
  <c r="F93" i="67" s="1"/>
  <c r="G40" i="67"/>
  <c r="G51" i="67" s="1"/>
  <c r="G53" i="67" s="1"/>
  <c r="E89" i="67" l="1"/>
  <c r="E92" i="67" s="1"/>
  <c r="E93" i="67" s="1"/>
  <c r="E94" i="67" s="1"/>
  <c r="E95" i="67" s="1"/>
  <c r="E101" i="67" s="1"/>
  <c r="D89" i="67"/>
  <c r="D92" i="67" s="1"/>
  <c r="D93" i="67" s="1"/>
  <c r="D94" i="67" s="1"/>
  <c r="D95" i="67" s="1"/>
  <c r="D101" i="67" s="1"/>
  <c r="F94" i="67"/>
  <c r="F95" i="67" s="1"/>
  <c r="F101" i="67" s="1"/>
  <c r="G106" i="67"/>
  <c r="G64" i="67"/>
  <c r="G65" i="67"/>
  <c r="G66" i="67"/>
  <c r="G67" i="67"/>
  <c r="G68" i="67"/>
  <c r="G69" i="67"/>
  <c r="G73" i="67"/>
  <c r="G74" i="67" s="1"/>
  <c r="G79" i="67"/>
  <c r="F97" i="67" l="1"/>
  <c r="D97" i="67"/>
  <c r="D98" i="67"/>
  <c r="D102" i="67" s="1"/>
  <c r="D103" i="67" s="1"/>
  <c r="D111" i="67" s="1"/>
  <c r="D112" i="67" s="1"/>
  <c r="C14" i="87" s="1"/>
  <c r="F14" i="87" s="1"/>
  <c r="G14" i="87" s="1"/>
  <c r="H14" i="87" s="1"/>
  <c r="F98" i="67"/>
  <c r="E97" i="67"/>
  <c r="E98" i="67"/>
  <c r="G70" i="67"/>
  <c r="G78" i="67" s="1"/>
  <c r="G80" i="67" s="1"/>
  <c r="G81" i="67" s="1"/>
  <c r="F102" i="67" l="1"/>
  <c r="F103" i="67" s="1"/>
  <c r="F111" i="67" s="1"/>
  <c r="F112" i="67" s="1"/>
  <c r="C19" i="87" s="1"/>
  <c r="F19" i="87" s="1"/>
  <c r="G19" i="87" s="1"/>
  <c r="H19" i="87" s="1"/>
  <c r="E102" i="67"/>
  <c r="E103" i="67" s="1"/>
  <c r="E111" i="67" s="1"/>
  <c r="E112" i="67" s="1"/>
  <c r="C26" i="87" s="1"/>
  <c r="G89" i="67"/>
  <c r="G108" i="67"/>
  <c r="G110" i="67" s="1"/>
  <c r="F26" i="87" l="1"/>
  <c r="G26" i="87" s="1"/>
  <c r="H26" i="87" s="1"/>
  <c r="G92" i="67"/>
  <c r="G93" i="67" s="1"/>
  <c r="G94" i="67" s="1"/>
  <c r="G95" i="67" s="1"/>
  <c r="G97" i="67" l="1"/>
  <c r="G98" i="67"/>
  <c r="G101" i="67"/>
  <c r="G102" i="67" l="1"/>
  <c r="G103" i="67" s="1"/>
  <c r="G111" i="67" s="1"/>
  <c r="G112" i="67" s="1"/>
  <c r="C31" i="87" s="1"/>
  <c r="F31" i="87" l="1"/>
  <c r="G31" i="87" s="1"/>
  <c r="H31" i="87" s="1"/>
  <c r="C101" i="11"/>
  <c r="C93" i="11" s="1"/>
  <c r="C27" i="11"/>
  <c r="C40" i="11"/>
  <c r="C79" i="11" s="1"/>
  <c r="D27" i="11" l="1"/>
  <c r="D29" i="11" s="1"/>
  <c r="F27" i="11"/>
  <c r="F29" i="11" s="1"/>
  <c r="E27" i="11"/>
  <c r="E29" i="11" s="1"/>
  <c r="G27" i="11"/>
  <c r="G29" i="11" s="1"/>
  <c r="G32" i="11" s="1"/>
  <c r="C29" i="11"/>
  <c r="F33" i="11" l="1"/>
  <c r="F34" i="11"/>
  <c r="F35" i="11"/>
  <c r="F36" i="11"/>
  <c r="F37" i="11"/>
  <c r="F39" i="11"/>
  <c r="F38" i="11"/>
  <c r="F32" i="11"/>
  <c r="D49" i="11"/>
  <c r="D37" i="11"/>
  <c r="D32" i="11"/>
  <c r="D36" i="11"/>
  <c r="D33" i="11"/>
  <c r="D39" i="11"/>
  <c r="D35" i="11"/>
  <c r="D34" i="11"/>
  <c r="D38" i="11"/>
  <c r="E49" i="11"/>
  <c r="E37" i="11"/>
  <c r="E35" i="11"/>
  <c r="E33" i="11"/>
  <c r="E32" i="11"/>
  <c r="E39" i="11"/>
  <c r="E38" i="11"/>
  <c r="E36" i="11"/>
  <c r="E34" i="11"/>
  <c r="F49" i="11"/>
  <c r="G33" i="11"/>
  <c r="G34" i="11"/>
  <c r="G35" i="11"/>
  <c r="G36" i="11"/>
  <c r="G37" i="11"/>
  <c r="G38" i="11"/>
  <c r="G39" i="11"/>
  <c r="G49" i="11"/>
  <c r="D13" i="2"/>
  <c r="D12" i="2"/>
  <c r="D11" i="2"/>
  <c r="D10" i="2"/>
  <c r="D9" i="2"/>
  <c r="D8" i="2"/>
  <c r="F40" i="11" l="1"/>
  <c r="F50" i="11" s="1"/>
  <c r="F52" i="11" s="1"/>
  <c r="D40" i="11"/>
  <c r="D50" i="11" s="1"/>
  <c r="D52" i="11" s="1"/>
  <c r="D78" i="11" s="1"/>
  <c r="D68" i="11"/>
  <c r="D67" i="11"/>
  <c r="D66" i="11"/>
  <c r="D63" i="11"/>
  <c r="G40" i="11"/>
  <c r="G50" i="11" s="1"/>
  <c r="G52" i="11" s="1"/>
  <c r="E40" i="11"/>
  <c r="E50" i="11" s="1"/>
  <c r="E52" i="11" s="1"/>
  <c r="E105" i="11" s="1"/>
  <c r="D64" i="11" l="1"/>
  <c r="D65" i="11"/>
  <c r="D105" i="11"/>
  <c r="D69" i="11"/>
  <c r="D77" i="11" s="1"/>
  <c r="D79" i="11" s="1"/>
  <c r="D80" i="11" s="1"/>
  <c r="D107" i="11" s="1"/>
  <c r="D109" i="11" s="1"/>
  <c r="E66" i="11"/>
  <c r="E63" i="11"/>
  <c r="E64" i="11"/>
  <c r="E65" i="11"/>
  <c r="E68" i="11"/>
  <c r="E78" i="11"/>
  <c r="E67" i="11"/>
  <c r="F105" i="11"/>
  <c r="F78" i="11"/>
  <c r="F68" i="11"/>
  <c r="F67" i="11"/>
  <c r="F66" i="11"/>
  <c r="F65" i="11"/>
  <c r="F64" i="11"/>
  <c r="F63" i="11"/>
  <c r="G63" i="11"/>
  <c r="G64" i="11"/>
  <c r="G65" i="11"/>
  <c r="G66" i="11"/>
  <c r="G67" i="11"/>
  <c r="G68" i="11"/>
  <c r="G78" i="11"/>
  <c r="G105" i="11"/>
  <c r="D88" i="11" l="1"/>
  <c r="D91" i="11" s="1"/>
  <c r="D92" i="11" s="1"/>
  <c r="D93" i="11" s="1"/>
  <c r="D94" i="11" s="1"/>
  <c r="D100" i="11" s="1"/>
  <c r="E69" i="11"/>
  <c r="E77" i="11" s="1"/>
  <c r="E79" i="11" s="1"/>
  <c r="E80" i="11" s="1"/>
  <c r="E88" i="11" s="1"/>
  <c r="E91" i="11" s="1"/>
  <c r="E92" i="11" s="1"/>
  <c r="E93" i="11" s="1"/>
  <c r="E94" i="11" s="1"/>
  <c r="F69" i="11"/>
  <c r="F77" i="11" s="1"/>
  <c r="F79" i="11" s="1"/>
  <c r="F80" i="11" s="1"/>
  <c r="F107" i="11" s="1"/>
  <c r="F109" i="11" s="1"/>
  <c r="G69" i="11"/>
  <c r="G77" i="11" s="1"/>
  <c r="G79" i="11" s="1"/>
  <c r="G80" i="11" s="1"/>
  <c r="D96" i="11" l="1"/>
  <c r="D97" i="11"/>
  <c r="D101" i="11" s="1"/>
  <c r="D102" i="11" s="1"/>
  <c r="D110" i="11" s="1"/>
  <c r="D111" i="11" s="1"/>
  <c r="E107" i="11"/>
  <c r="E109" i="11" s="1"/>
  <c r="F88" i="11"/>
  <c r="F91" i="11" s="1"/>
  <c r="F92" i="11" s="1"/>
  <c r="F93" i="11" s="1"/>
  <c r="F94" i="11" s="1"/>
  <c r="E100" i="11"/>
  <c r="E97" i="11"/>
  <c r="E96" i="11"/>
  <c r="G88" i="11"/>
  <c r="G107" i="11"/>
  <c r="G109" i="11" s="1"/>
  <c r="C13" i="87" l="1"/>
  <c r="F13" i="87" s="1"/>
  <c r="G13" i="87" s="1"/>
  <c r="H13" i="87" s="1"/>
  <c r="F3" i="87"/>
  <c r="G3" i="87" s="1"/>
  <c r="H3" i="87" s="1"/>
  <c r="E101" i="11"/>
  <c r="E102" i="11" s="1"/>
  <c r="E110" i="11" s="1"/>
  <c r="E111" i="11" s="1"/>
  <c r="F100" i="11"/>
  <c r="F97" i="11"/>
  <c r="F96" i="11"/>
  <c r="G91" i="11"/>
  <c r="G92" i="11" s="1"/>
  <c r="G93" i="11" s="1"/>
  <c r="G94" i="11" s="1"/>
  <c r="C25" i="87" l="1"/>
  <c r="F25" i="87" s="1"/>
  <c r="G25" i="87" s="1"/>
  <c r="H25" i="87" s="1"/>
  <c r="F5" i="87"/>
  <c r="G5" i="87" s="1"/>
  <c r="H5" i="87" s="1"/>
  <c r="F101" i="11"/>
  <c r="F102" i="11" s="1"/>
  <c r="F110" i="11" s="1"/>
  <c r="F111" i="11" s="1"/>
  <c r="G96" i="11"/>
  <c r="G97" i="11"/>
  <c r="G100" i="11"/>
  <c r="C18" i="87" l="1"/>
  <c r="F18" i="87" s="1"/>
  <c r="G18" i="87" s="1"/>
  <c r="H18" i="87" s="1"/>
  <c r="F4" i="87"/>
  <c r="G4" i="87" s="1"/>
  <c r="G101" i="11"/>
  <c r="G102" i="11" s="1"/>
  <c r="G110" i="11" s="1"/>
  <c r="G111" i="11" s="1"/>
  <c r="C30" i="87" l="1"/>
  <c r="F30" i="87" s="1"/>
  <c r="G30" i="87" s="1"/>
  <c r="F6" i="87"/>
  <c r="G6" i="87" s="1"/>
  <c r="H6" i="87" s="1"/>
  <c r="H4" i="87"/>
  <c r="H7" i="87" l="1"/>
  <c r="H30" i="87"/>
  <c r="H36" i="87" s="1"/>
</calcChain>
</file>

<file path=xl/sharedStrings.xml><?xml version="1.0" encoding="utf-8"?>
<sst xmlns="http://schemas.openxmlformats.org/spreadsheetml/2006/main" count="1905" uniqueCount="305">
  <si>
    <t>A</t>
  </si>
  <si>
    <t>Data de apresentação da proposta (mês/ano)</t>
  </si>
  <si>
    <t>B</t>
  </si>
  <si>
    <t>C</t>
  </si>
  <si>
    <t>Ano Acordo, Convenção ou Sentença Normativa em Dissídio Coletivo</t>
  </si>
  <si>
    <t>D</t>
  </si>
  <si>
    <t>Identificação do Serviço</t>
  </si>
  <si>
    <t>Anexo III-A – Mão-de-obra</t>
  </si>
  <si>
    <t>Mão-de-obra vinculada à execução contratual</t>
  </si>
  <si>
    <t>Dados complementares para composição dos custos referente à mão-de-obra</t>
  </si>
  <si>
    <t>Valor (R$)</t>
  </si>
  <si>
    <t>Salário Normativo da Categoria Profissional</t>
  </si>
  <si>
    <t>Categoria profissional (vinculada à execução contratual)</t>
  </si>
  <si>
    <t>Data base da categoria (dia/mês/ano)</t>
  </si>
  <si>
    <t>MÓDULO 1 : COMPOSIÇÃO DA REMUNERAÇÃO</t>
  </si>
  <si>
    <t>Composição da Remuneração</t>
  </si>
  <si>
    <t>Salário</t>
  </si>
  <si>
    <t>Adicional de Periculosidade</t>
  </si>
  <si>
    <t>Adicional de Insalubridade</t>
  </si>
  <si>
    <t>Adicional Noturno</t>
  </si>
  <si>
    <t>E</t>
  </si>
  <si>
    <t>F</t>
  </si>
  <si>
    <t>G</t>
  </si>
  <si>
    <t>TOTAL DE BENEFÍCIOS MENSAIS E DIÁRIOS</t>
  </si>
  <si>
    <t>Insumos Diversos</t>
  </si>
  <si>
    <t>Encargos previdenciários e FGTS</t>
  </si>
  <si>
    <t>H</t>
  </si>
  <si>
    <t>TOTAL</t>
  </si>
  <si>
    <t>13 º Salário</t>
  </si>
  <si>
    <t>Subtotal</t>
  </si>
  <si>
    <t>Submódulo 4.3 – Afastamento Maternidade</t>
  </si>
  <si>
    <t>Afastamento Maternidade:</t>
  </si>
  <si>
    <t>Provisão para Rescisão</t>
  </si>
  <si>
    <t>Aviso prévio indenizado</t>
  </si>
  <si>
    <r>
      <t>Incidência do FGTS sobre aviso prévio indenizado (8%)</t>
    </r>
    <r>
      <rPr>
        <i/>
        <sz val="10"/>
        <color rgb="FF002060"/>
        <rFont val="Calibri"/>
        <family val="2"/>
        <scheme val="minor"/>
      </rPr>
      <t/>
    </r>
  </si>
  <si>
    <t>Aviso prévio trabalhado</t>
  </si>
  <si>
    <t>Composição do Custo de Reposição do Profissional Ausente</t>
  </si>
  <si>
    <t>(M-T)      CUSTO TOTAL DA PLANILHA PARA EFEITO DE CÁLCULO DO MÓDULO 5 (M1+M2+M3+M4)</t>
  </si>
  <si>
    <t>Custos Indiretos, Tributos e Lucro</t>
  </si>
  <si>
    <t>Custos Indiretos</t>
  </si>
  <si>
    <t>Lucro (MT + M5.A)</t>
  </si>
  <si>
    <t>Tributos</t>
  </si>
  <si>
    <t>C1. Tributos Federais</t>
  </si>
  <si>
    <t>C.2 Tributos Estaduais (especificar)</t>
  </si>
  <si>
    <t xml:space="preserve">C.3 Tributos Municipais </t>
  </si>
  <si>
    <t>TOTAL DOS TRIBUTOS</t>
  </si>
  <si>
    <t>TOTAL DOS CUSTOS INDIRETOS, TRIBUTOS E LUCRO</t>
  </si>
  <si>
    <t>Mão-de-obra vinculada à execução contratual (valor por empregado)</t>
  </si>
  <si>
    <t>Módulo 1 – Composição da Remuneração</t>
  </si>
  <si>
    <t>VALOR TOTAL POR EMPREGADO</t>
  </si>
  <si>
    <t>Subtotal  para   efeito  de  cálculo  do s Tributos  (MT + MA + MB) FATURAMENTO [(100-8,65)/100]</t>
  </si>
  <si>
    <t xml:space="preserve"> MÓDULO 2: BENEFÍCIOS MENSAIS E DIÁRIOS</t>
  </si>
  <si>
    <t>]</t>
  </si>
  <si>
    <t>27/08/2012 - APLICABILIDADE DA LEI Nº 12.506, DE 11 DE OUTUBRO DE 2011</t>
  </si>
  <si>
    <t>AVISO PRÉVIO TRABALHADO</t>
  </si>
  <si>
    <t>COMUNICA</t>
  </si>
  <si>
    <t>Com a publicação da LEI 12.506/2011, ainda que esta não se manifeste sobre a redução da jornada e da proporcionalidade nos dias de falta ao trabalho no caso de aviso prévio trabalhado, poder-se-ia entender que o empregado teria direito à redução de 2 horas diárias, bem como poderia faltar ao trabalho o número de dias proporcionais ao tempo trabalhado.</t>
  </si>
  <si>
    <r>
      <t>ASSIM SENDO, COM A NOVA PREVISÃO LEGAL</t>
    </r>
    <r>
      <rPr>
        <b/>
        <sz val="8"/>
        <color rgb="FFFF0000"/>
        <rFont val="Verdana"/>
        <family val="2"/>
      </rPr>
      <t>, HAVERÁ NECESSIDADE DE MODIFICAÇÃO NA METODOLOGIA ATÉ ENTÃO ADOTADA PARA PRORROGAÇÃO DOS CONTRATOS DE PRESTAÇÃO DE SERVIÇOS COM ALOCAÇÃO DE MÃO DE OBRA. NESSE CASO, O VALOR PREVISTO A TÍTULO DE AVISO PRÉVIO DEVERÁ CONSIDERAR 3 (TRÊS) DIAS PARA CADA ANO DE PRORROGAÇÃO, ATÉ O LIMITE DE 12 (DOZE) DIAS, PERFAZENDO UM TOTAL DE 42 (QUARENTA E DOIS) DIAS</t>
    </r>
    <r>
      <rPr>
        <sz val="8"/>
        <color rgb="FF000000"/>
        <rFont val="Verdana"/>
        <family val="2"/>
      </rPr>
      <t>, VISTO QUE O INCISO II DO ART. 57 DA LEI N° 8.666, DE 21 DE JUNHO DE 1993, PERMITE QUE OS CONTRATOS DE PRESTAÇÃO DE SERVIÇOS CONTINUADOS SEJAM PRORROGADOS ATÉ UM LIMITE DE SESSENTA MESES, CASO OS PREÇOS E CONDIÇÕES SEJAM MAIS VANTAJOSOS PARA A ADMINISTRAÇÃO. DESSA FORMA, A METODOLOGIA REFLETIRÁ O PRAZO DE AVISO PRÉVIO QUE O EMPREGADO ACUMULA NO PRIMEIRO ANO E NOS SEGUINTES DO CONTRATO.</t>
    </r>
  </si>
  <si>
    <t>Aviso Prévio Trabalhado - Demissão Sem Justa Causa</t>
  </si>
  <si>
    <t>BRASÍLIA-DF, 15 DE AGOSTO DE 2012</t>
  </si>
  <si>
    <t>Tempo Trabalhado</t>
  </si>
  <si>
    <t>Dias de Aviso</t>
  </si>
  <si>
    <t>Faltas ao Trabalho</t>
  </si>
  <si>
    <t>SECRETARIA DE LOGÍSTICA E TECNOLOGIA DA INFORMAÇÃO – SLTI</t>
  </si>
  <si>
    <t>no final do aviso</t>
  </si>
  <si>
    <t>DEPARTAMENTO DE LOGÍSTICA E SERVIÇOS GERAIS – DLSG</t>
  </si>
  <si>
    <t>Até 1 ano</t>
  </si>
  <si>
    <t>COORDENAÇÃO-GERAL DE NORMAS – CGN</t>
  </si>
  <si>
    <t>Até 2 anos</t>
  </si>
  <si>
    <t>Até 3 anos</t>
  </si>
  <si>
    <t>Até 4 anos</t>
  </si>
  <si>
    <t>Até 5 anos</t>
  </si>
  <si>
    <t>Até 6 anos</t>
  </si>
  <si>
    <t>Até 7 anos</t>
  </si>
  <si>
    <t>Até 8 anos</t>
  </si>
  <si>
    <t>Até 9 anos</t>
  </si>
  <si>
    <t>Até 10 anos</t>
  </si>
  <si>
    <t>Até 11 anos</t>
  </si>
  <si>
    <t>Até 12 anos</t>
  </si>
  <si>
    <t>Até 13 anos</t>
  </si>
  <si>
    <t>Até 14 anos</t>
  </si>
  <si>
    <t>Até 15 anos</t>
  </si>
  <si>
    <t>Até 16 anos</t>
  </si>
  <si>
    <t>Até 17 anos</t>
  </si>
  <si>
    <t>Até 18 anos</t>
  </si>
  <si>
    <t>Até 19 anos</t>
  </si>
  <si>
    <t>Até 20 anos</t>
  </si>
  <si>
    <t>A partir de 20 anos</t>
  </si>
  <si>
    <t>VOLTAR PLANILHA PRINCIPAL</t>
  </si>
  <si>
    <r>
      <t>Nota:</t>
    </r>
    <r>
      <rPr>
        <sz val="14"/>
        <color rgb="FF000000"/>
        <rFont val="Calibri"/>
        <family val="2"/>
        <scheme val="minor"/>
      </rPr>
      <t> Entretanto, a lei não especifica que deva aplicar esta proporcionalidade de acordo com o tempo de empresa, porquanto </t>
    </r>
    <r>
      <rPr>
        <b/>
        <u/>
        <sz val="14"/>
        <color rgb="FF000000"/>
        <rFont val="Calibri"/>
        <family val="2"/>
        <scheme val="minor"/>
      </rPr>
      <t>entendemos que a falta ao final do aviso ainda seja de 7 (sete) dias</t>
    </r>
    <r>
      <rPr>
        <sz val="14"/>
        <color rgb="FF000000"/>
        <rFont val="Calibri"/>
        <family val="2"/>
        <scheme val="minor"/>
      </rPr>
      <t>. Já em relação a redução de jornada, </t>
    </r>
    <r>
      <rPr>
        <b/>
        <u/>
        <sz val="14"/>
        <color rgb="FF000000"/>
        <rFont val="Calibri"/>
        <family val="2"/>
        <scheme val="minor"/>
      </rPr>
      <t>entendemos que deva ser de 2 horas independentemente do número de dias</t>
    </r>
    <r>
      <rPr>
        <sz val="14"/>
        <color rgb="FF000000"/>
        <rFont val="Calibri"/>
        <family val="2"/>
        <scheme val="minor"/>
      </rPr>
      <t> de aviso trabalhado.</t>
    </r>
  </si>
  <si>
    <t>Exemplo</t>
  </si>
  <si>
    <t>Empregado (com um ano de emprego) recebeu a comunicação de desligamento em 01.07.2011, optou pela falta ao serviço durante os últimos 7 (sete) dias corridos. Neste caso, considerando o início da contagem dos 30 dias em 02.07.2011 (dia seguinte ao da comunicação), o término do aviso e consequentemente a baixa na CTPS foi em 31.07.2011, embora o mesmo só trabalhe até 24.07.2011.</t>
  </si>
  <si>
    <t>Neste caso, a data de pagamento das verbas rescisórias será o dia seguinte ao término do aviso, ou seja, 01.08.2011.</t>
  </si>
  <si>
    <t>FONTE: www.guiatrabalhista.com.br</t>
  </si>
  <si>
    <t>PRORROGAÇÃO EXECEPCIONAL (§ 4º DO ART. 57 DA LLC)</t>
  </si>
  <si>
    <t>FALTAS LEGAIS</t>
  </si>
  <si>
    <t>Limite de Faltas</t>
  </si>
  <si>
    <t>Motivo</t>
  </si>
  <si>
    <t>Colunas1</t>
  </si>
  <si>
    <t>Colunas2</t>
  </si>
  <si>
    <t>até 2 dias consecutivos</t>
  </si>
  <si>
    <t>Falecimento de cônjuge, ascendente, descendente, irmão ou pessoa que, declarada em sua CTPS, viva sob sua dependência econômica.</t>
  </si>
  <si>
    <t>até 3 dias consecutivos</t>
  </si>
  <si>
    <t>Casamento</t>
  </si>
  <si>
    <t>5 dias, no decorrer da primeira semana</t>
  </si>
  <si>
    <t>Nascimento de Filho (Este inciso fica tacitamente revogado em virtude do inciso XIX do art. 7º da CF/88 que instituiu a Licença-Paternidade e pelo § 1º do Art. 10 da ADCT/88 que fixou o prazo para 5 (cinco) dias.)</t>
  </si>
  <si>
    <t>1 dia em cada 12 meses de trabalho</t>
  </si>
  <si>
    <t>Doação voluntária de sangue devidamente comprovada</t>
  </si>
  <si>
    <t>até 2 dias consecutivos ou não</t>
  </si>
  <si>
    <t>Alistamento eleitoral</t>
  </si>
  <si>
    <t>até 9 dias</t>
  </si>
  <si>
    <t>gala ou luto, em conseqüência de falecimento do cônjuge, do pai ou mãe, ou de filho de professor</t>
  </si>
  <si>
    <t>---</t>
  </si>
  <si>
    <t>Dias em que estiver comprovadamente realizando provas do exame vestibular em estabelecimento de ensino superior</t>
  </si>
  <si>
    <t>No período de tempo em que tiver de cumprir as exigências do Serviço Militar (art. 65 letra "c" da Lei nº 4375/64)</t>
  </si>
  <si>
    <t>Apresentar-se, anualmente, no local e data que forem fixados, para fins de exercício de apresentação das reservas ou cerimônia cívica do Dia do Reservista.</t>
  </si>
  <si>
    <t>Ausências decorrentes de exercícios ou manobras, pelo convocado matriculado em órgão de formação de reserva (art.60 § 4º da Lei º 4375/64)</t>
  </si>
  <si>
    <t>Ausência do empregado, justificada, a critério do empregador</t>
  </si>
  <si>
    <t>Paralisação dos serviços nos dias em que, por conveniência do empregador, não tenha havido trabalho.</t>
  </si>
  <si>
    <t>Falta ao serviço por acidente de trabalho</t>
  </si>
  <si>
    <t>2 semanas</t>
  </si>
  <si>
    <t>Aborto não criminoso, comprovado por atestado médico oficial</t>
  </si>
  <si>
    <t>até 15 dias</t>
  </si>
  <si>
    <t>Doença, devidamente comprovada por atestado médico (1)</t>
  </si>
  <si>
    <t>Comparecimento necessário, como parte, à Justiça do Trabalho</t>
  </si>
  <si>
    <t>Comparecimento para depor na Justiça, quando devidamente arrolado ou convocado como testemunha</t>
  </si>
  <si>
    <t>Comparecimento às sessões do júri, como jurado sorteado</t>
  </si>
  <si>
    <t>Ausências dos representantes dos trabalhadores no Conselho Curador do FGTS, decorrentes de atividades desse órgão</t>
  </si>
  <si>
    <t>Convocação para o serviço eleitoral</t>
  </si>
  <si>
    <t xml:space="preserve"> </t>
  </si>
  <si>
    <t xml:space="preserve">C1-A  (PIS 0,65)   </t>
  </si>
  <si>
    <t>C1. B  (COFINS 3,0)</t>
  </si>
  <si>
    <t>PLANILHA DE CUSTOS E FORMAÇÃO DE PREÇOS</t>
  </si>
  <si>
    <t>Tipo de serviço (mesmo serviço com características distintas)</t>
  </si>
  <si>
    <t xml:space="preserve">Assistência médica e familiar </t>
  </si>
  <si>
    <t xml:space="preserve">Auxílio creche </t>
  </si>
  <si>
    <t xml:space="preserve">Seguro de vida </t>
  </si>
  <si>
    <t>Outros</t>
  </si>
  <si>
    <t>INTERVALO INTRAJORNADA</t>
  </si>
  <si>
    <t>DSR INTRAJORNADA</t>
  </si>
  <si>
    <t>ESPECIFICAÇÃO</t>
  </si>
  <si>
    <t>2.1</t>
  </si>
  <si>
    <t xml:space="preserve">C3-A (ISS 5,0) </t>
  </si>
  <si>
    <r>
      <t>N</t>
    </r>
    <r>
      <rPr>
        <strike/>
        <sz val="12"/>
        <rFont val="Calibri"/>
        <family val="2"/>
        <scheme val="minor"/>
      </rPr>
      <t>º</t>
    </r>
    <r>
      <rPr>
        <sz val="12"/>
        <rFont val="Calibri"/>
        <family val="2"/>
        <scheme val="minor"/>
      </rPr>
      <t xml:space="preserve"> de meses de execução contratual</t>
    </r>
  </si>
  <si>
    <t>Transporte</t>
  </si>
  <si>
    <t>13º Salário, Férias e Adicional de Férias</t>
  </si>
  <si>
    <t>GPS, FGTS e outras contribuições</t>
  </si>
  <si>
    <t>Beneficios diários e mensais</t>
  </si>
  <si>
    <t>Férias e Adicional de Férias</t>
  </si>
  <si>
    <t>Multa do FGTS do aviso prévio indenizado e trabalhado</t>
  </si>
  <si>
    <t>Módulo 4 – Custo de Reposição do Profissional Ausente</t>
  </si>
  <si>
    <t>Quadro resumo dos beneficios</t>
  </si>
  <si>
    <t>TOTAL DO MÓDULO 1</t>
  </si>
  <si>
    <t>TOTAL DO MÓDULO 2</t>
  </si>
  <si>
    <t>TOTAL DO MÓDULO 3</t>
  </si>
  <si>
    <t>TOTAL DO MÓDULO 4</t>
  </si>
  <si>
    <t>TOTAL DO MÓDULO 5</t>
  </si>
  <si>
    <t>Módulo 3 – Provisão para Rescisão</t>
  </si>
  <si>
    <t>Módulo 5 – Insumos Diversos</t>
  </si>
  <si>
    <t>Módulo 2 – Encargos e Benefícios Anuais, Mensais e Diários</t>
  </si>
  <si>
    <t>Subtotal (A + B +C+ D+E)</t>
  </si>
  <si>
    <t>Módulo 6 – Custos indiretos, tributos e lucro</t>
  </si>
  <si>
    <t>MÓDULO 3 - PROVISÃO PARA RESCISÃO</t>
  </si>
  <si>
    <t>MÓDULO 4 – CUSTO DE REPOSIÇÃO DO PROFISSIONAL AUSENTE</t>
  </si>
  <si>
    <t>MÓDULO 5 - INSUMOS DIVERSOS</t>
  </si>
  <si>
    <t xml:space="preserve">MÓDULO 6 – CUSTOS INDIRETOS, TRIBUTOS E LUCRO </t>
  </si>
  <si>
    <t>Ordem</t>
  </si>
  <si>
    <t>Unidade</t>
  </si>
  <si>
    <t>Quantidade</t>
  </si>
  <si>
    <t>Valor Unitário</t>
  </si>
  <si>
    <t>EQUIPAMENTOS PERMANENTES</t>
  </si>
  <si>
    <t>Vida Útil (Meses)</t>
  </si>
  <si>
    <t>Valor Mensal</t>
  </si>
  <si>
    <t>Submódulo 2.3 – Beneficios Mensais</t>
  </si>
  <si>
    <t>Incidência do submódulo 2.2 sobre aviso prévio trabalhado (39,80% sobre o valor do Aviso Prévio Trabalhado)</t>
  </si>
  <si>
    <t>Tipo do Serviço</t>
  </si>
  <si>
    <t>Valor proposto por empregado</t>
  </si>
  <si>
    <t>Quantidade de empregados por posto</t>
  </si>
  <si>
    <t>Quantidade de postos</t>
  </si>
  <si>
    <t>Valor proposto por posto</t>
  </si>
  <si>
    <t>Valor total do Serviço Mensal</t>
  </si>
  <si>
    <t>Valor total do Serviço Anual</t>
  </si>
  <si>
    <t>(A)</t>
  </si>
  <si>
    <t>(B)</t>
  </si>
  <si>
    <t>( C )</t>
  </si>
  <si>
    <t>(F) = (D x E)</t>
  </si>
  <si>
    <t>Uniformes</t>
  </si>
  <si>
    <t>Equipamentos</t>
  </si>
  <si>
    <t>Ambulancia de Suporte Avançado tipo "B"</t>
  </si>
  <si>
    <t>Ambulância Tipo B</t>
  </si>
  <si>
    <t>Base de cálculo: De acordo com a instrução normativa nº 05/2017 anexo VII nota 3, a base de cálculo neste módulo deverá ser a soma: MÓDULO 1 + SUBMÓDULO 2.1.</t>
  </si>
  <si>
    <t>Auxílio alimentação</t>
  </si>
  <si>
    <t>Substituto na Cobertura de Férias (1/12 avos)</t>
  </si>
  <si>
    <t>Substituto na Cobertura de Ausências Legais (por doença)</t>
  </si>
  <si>
    <t>Substituto na Cobertura de Licença Paternidade</t>
  </si>
  <si>
    <t>Substituto na Cobertura Por Acidente de Trabalho</t>
  </si>
  <si>
    <t>Substituto na Cobertura de Licença Maternidade</t>
  </si>
  <si>
    <t>Outros  (Especificar)</t>
  </si>
  <si>
    <t>Submódulo 4.1 - Ausências Legais</t>
  </si>
  <si>
    <t>4.1</t>
  </si>
  <si>
    <t>3.0</t>
  </si>
  <si>
    <t>Submódulo 4.2 - Intrajornada</t>
  </si>
  <si>
    <t>Intervalo para Repouso ou Alimentação</t>
  </si>
  <si>
    <t>QUADRO-RESUMO DO MÓDULO 4 - CUSTO DE REPOSIÇÃO DO PROFISSIONAL AUSENTE</t>
  </si>
  <si>
    <t>Adicional de Hora Noturna Reduzida</t>
  </si>
  <si>
    <t>DÉCIMO TERCEIRO SALÁRIO, FÉRIAS E ADICIONAL DE FÉRIAS</t>
  </si>
  <si>
    <t xml:space="preserve">Base de cálculo: De acordo com a instrução normativa nº 05/2017 anexo VII nota 3, a base de cálculo neste módulo deverá ser a soma: MÓDULO 1 + SUBMÓDULO 2.1. </t>
  </si>
  <si>
    <r>
      <rPr>
        <b/>
        <sz val="12"/>
        <rFont val="Calibri"/>
        <family val="2"/>
        <scheme val="minor"/>
      </rPr>
      <t>INSS</t>
    </r>
    <r>
      <rPr>
        <sz val="12"/>
        <rFont val="Calibri"/>
        <family val="2"/>
        <scheme val="minor"/>
      </rPr>
      <t xml:space="preserve"> (20%)</t>
    </r>
  </si>
  <si>
    <r>
      <rPr>
        <b/>
        <sz val="12"/>
        <rFont val="Calibri"/>
        <family val="2"/>
        <scheme val="minor"/>
      </rPr>
      <t>SESI OU SESC</t>
    </r>
    <r>
      <rPr>
        <sz val="12"/>
        <rFont val="Calibri"/>
        <family val="2"/>
        <scheme val="minor"/>
      </rPr>
      <t xml:space="preserve"> (1,5%)</t>
    </r>
  </si>
  <si>
    <r>
      <rPr>
        <b/>
        <sz val="12"/>
        <rFont val="Calibri"/>
        <family val="2"/>
        <scheme val="minor"/>
      </rPr>
      <t>SENAI OU SENAC</t>
    </r>
    <r>
      <rPr>
        <sz val="12"/>
        <rFont val="Calibri"/>
        <family val="2"/>
        <scheme val="minor"/>
      </rPr>
      <t xml:space="preserve"> (1,0%)</t>
    </r>
  </si>
  <si>
    <r>
      <rPr>
        <b/>
        <sz val="12"/>
        <rFont val="Calibri"/>
        <family val="2"/>
        <scheme val="minor"/>
      </rPr>
      <t xml:space="preserve">INCRA </t>
    </r>
    <r>
      <rPr>
        <sz val="12"/>
        <rFont val="Calibri"/>
        <family val="2"/>
        <scheme val="minor"/>
      </rPr>
      <t>(0,20% ou  2,7%) - IN nº971, MPS/SRP/2009, Anexo I e II ver código da Tabela</t>
    </r>
  </si>
  <si>
    <r>
      <rPr>
        <b/>
        <sz val="12"/>
        <rFont val="Calibri"/>
        <family val="2"/>
        <scheme val="minor"/>
      </rPr>
      <t>SALÁRIO EDUCAÇÃO</t>
    </r>
    <r>
      <rPr>
        <sz val="12"/>
        <rFont val="Calibri"/>
        <family val="2"/>
        <scheme val="minor"/>
      </rPr>
      <t xml:space="preserve"> (2,5%)</t>
    </r>
  </si>
  <si>
    <t xml:space="preserve">FGTS (8,0%) </t>
  </si>
  <si>
    <r>
      <rPr>
        <b/>
        <sz val="12"/>
        <rFont val="Calibri"/>
        <family val="2"/>
        <scheme val="minor"/>
      </rPr>
      <t>RAT X SAT (Conforme GFIP)</t>
    </r>
    <r>
      <rPr>
        <sz val="12"/>
        <rFont val="Calibri"/>
        <family val="2"/>
        <scheme val="minor"/>
      </rPr>
      <t xml:space="preserve"> (Riscos Ambientais do Trabalho) (Sat/Inss(médio)) (Riscos: Leve 1,0%, Médio 2,0%, Grave 3,0% - veja Decreto 3048/99 - Anexo V (CNAE de 1% a 3% FAP de 0,5 a 2,0)</t>
    </r>
  </si>
  <si>
    <t>SEBRAE</t>
  </si>
  <si>
    <t>2.2</t>
  </si>
  <si>
    <t>2.3</t>
  </si>
  <si>
    <t xml:space="preserve">BENEFÍCIOS MENSAIS E DIÁRIOS </t>
  </si>
  <si>
    <t xml:space="preserve">Auxílio alimentação </t>
  </si>
  <si>
    <t>Multa sobre FGTS e Contribuição Social sobre o Aviso Prévio Indenizado e sobre o Aviso Prévio Trabalhado. (Alterado Conf. Lei nº 13.932/2019)</t>
  </si>
  <si>
    <t>Módulo 4 – Encargos sociais e trabalhistas</t>
  </si>
  <si>
    <t>4.2</t>
  </si>
  <si>
    <t>Uniformes e EPIs</t>
  </si>
  <si>
    <t>Materiais</t>
  </si>
  <si>
    <t>Quadro-resumo do módulo 2-ENCARGOS E BENEFÍCIOS ANUAIS, MENSAIS E DIÁRIOS</t>
  </si>
  <si>
    <t>(M-T)      CUSTO TOTAL DA PLANILHA PARA EFEITO DE CÁLCULO DO MÓDULO 5 (M1+M2+M3+M4+M5)</t>
  </si>
  <si>
    <t>Valor Total Anual</t>
  </si>
  <si>
    <t>(G) = (D x 12)</t>
  </si>
  <si>
    <t>(D)</t>
  </si>
  <si>
    <t>(E) = (B x C)</t>
  </si>
  <si>
    <t>UNIFORMES E EPI (POR FUNCIONÁRIO)</t>
  </si>
  <si>
    <t>TOTAL MENSAL POR FUNCIONÁRIO</t>
  </si>
  <si>
    <t>Enfermeiro - Diurno</t>
  </si>
  <si>
    <t>Médico - Diurno</t>
  </si>
  <si>
    <t xml:space="preserve">INFORMAÇÃO: </t>
  </si>
  <si>
    <t>Técnico de Enfermagem - Noturno</t>
  </si>
  <si>
    <t>Técnico de Enfermagem - Diurno</t>
  </si>
  <si>
    <t>Ambulância Tipo D</t>
  </si>
  <si>
    <t>Enfermeiro - Noturno</t>
  </si>
  <si>
    <t>Médico - Noturno</t>
  </si>
  <si>
    <t>Ambulancia de Suporte Avançado tipo "D"</t>
  </si>
  <si>
    <t>TOTAL MENSAL POR  FUNCIONÁRIO CEMETRON - AMBULANCIA TIPO "B"</t>
  </si>
  <si>
    <t>TOTAL MENSAL POR  FUNCIONÁRIO CEMETRON - AMBULANCIA TIPO "D"</t>
  </si>
  <si>
    <t>40% * 1.412,00</t>
  </si>
  <si>
    <t xml:space="preserve"> MATERIAIS PERMANENTES</t>
  </si>
  <si>
    <t>Ambulância de Suporte Básico Tipo B</t>
  </si>
  <si>
    <t>Definição dos Materiais e Equipamentos das Ambulâncias:</t>
  </si>
  <si>
    <t>Ambulância de Suporte Avançado Tipo D (UTI Móvel)</t>
  </si>
  <si>
    <t xml:space="preserve"> Custo Fixo do Veículo</t>
  </si>
  <si>
    <t>Licenciamento;                                                                                                                                                                                                                                                                                                                                                            Seguro  Obrigatório (DPVAT);                                                                                                                                                                                                                                                                                                                               Seguro do Veículo.</t>
  </si>
  <si>
    <t xml:space="preserve"> Custo Variável do Veículo</t>
  </si>
  <si>
    <t>Manutenção preventiva e corretiva (peças e serviços de oficina);
Pneus e câmaras;
Lubrificantes (óleo de câmbio/diferencial);
Lubrificantes (óleo de cárter + filtro); 
Borracharia;
Lavagem do Veículo;
Aferições e Manut. C e P dos Equipamentos da ambulância;  
Sistema de rastreamento (GPS);
Ar-Condicionado.</t>
  </si>
  <si>
    <t>Ambulância Tipo "D"</t>
  </si>
  <si>
    <t>Ambulância Tipo "B"</t>
  </si>
  <si>
    <t>INFORMAÇÃO:</t>
  </si>
  <si>
    <t>Total Ambulância Tipo "D"</t>
  </si>
  <si>
    <t>Total Ambulância Tipo "B"</t>
  </si>
  <si>
    <t>LOTE II - CENTRO DE MEDICINA TROPICAL-CEMETRON E HOSPITAL REGIONAL SÃO FRANCISCO DO GUAPORÉ-HRSF</t>
  </si>
  <si>
    <t>ITEM</t>
  </si>
  <si>
    <t>DEFINIÇÃO/CLASSIFICAÇÃO DOS VEÍCULO/AMBULÂNCIA</t>
  </si>
  <si>
    <t>UNIDADE</t>
  </si>
  <si>
    <t>QUANTIDADE</t>
  </si>
  <si>
    <t xml:space="preserve">VALOR UNITÁRIO (R$) </t>
  </si>
  <si>
    <t>Prestação de Serviço de Transporte Inter-Hospitalar de Pacientes, com disponibilização de Veículo/Ambulância de Suporte Avançado TIPO ”D” (UTI Móvel) e Suporte Básico TIPO "B", com mão de obra especializada</t>
  </si>
  <si>
    <t>Prestação de Serviço de Transporte Inter-Hospitalar de Pacientes, com disponibilização de Veículo/Ambulância de Suporte Avançado TIPO ”D” (UTI Móvel) e Suporte Básico TIPO "B"</t>
  </si>
  <si>
    <t>Motorista - Diurno</t>
  </si>
  <si>
    <t xml:space="preserve">CEMETRON - TIPO "B" </t>
  </si>
  <si>
    <t xml:space="preserve">CEMETRON - TIPO "D" </t>
  </si>
  <si>
    <t xml:space="preserve">HRSF - TIPO "B" </t>
  </si>
  <si>
    <t xml:space="preserve">HRSF - TIPO "D" </t>
  </si>
  <si>
    <t>Motorista - Noturno</t>
  </si>
  <si>
    <t>LEI Nº 14.434/2022</t>
  </si>
  <si>
    <t xml:space="preserve">Médico - Diurno </t>
  </si>
  <si>
    <t>VALOR TOTAL (R$) - LOTE II:</t>
  </si>
  <si>
    <t xml:space="preserve">TOTAL MENSAL POR  FUNCIONÁRIO HRSF - AMBULANCIA TIPO "B" </t>
  </si>
  <si>
    <t>TOTAL MENSAL POR  FUNCIONÁRIO HRSF - AMBULANCIA TIPO "D"</t>
  </si>
  <si>
    <t xml:space="preserve">Periodicidade </t>
  </si>
  <si>
    <t>6 meses</t>
  </si>
  <si>
    <t>Camisa</t>
  </si>
  <si>
    <t>Crachá</t>
  </si>
  <si>
    <t>Par de calçados</t>
  </si>
  <si>
    <t>Deverão conter necessariamente:
Sinalizador óptico e acústico; equipamento de rádio-comunicação fixo e móvel; maca articulada e com rodas; suporte para soro; instalação de rede de oxigênio com cilindro, válvula, manômetro em local de fácil visualização e régua com dupla saída; oxigênio com régua tripla (a- alimentação do respirador; b- fluxômetro e umidificador de oxigênio e c - aspirador tipo Venturi); manômetro e fluxômetro com máscara e chicote para oxigenação; cilindro de oxigênio portátil com válvula; maleta de urgência contendo: estetoscópio adulto e infantil, ressuscitador manual adulto/infantil, cânulas orofaríngeas de tamanhos variados, luvas descartáveis, tesoura reta com ponta romba, esparadrapo, esfigmomanômetro adulto/infantil, ataduras de 15 cm, compressas cirúrgicas estéreis, pacotes de gaze estéril, protetores para queimados ou eviscerados, cateteres para oxigenação e aspiração de vários tamanhos; maleta de parto contendo: luvas cirúrgicas, clamps umbilicais, estilete estéril para corte do cordão, saco plástico para placenta, cobertor, compressas cirúrgicas e gazes estéreis, braceletes de identificação; suporte para soro; prancha curta e longa para imobilização de coluna; talas para imobilização de membros e conjunto de colares cervicais; colete imobilizador dorsal; frascos de soro fisiológico e ringer lactato; bandagens triangulares; cobertores; coletes refletivos para a tripulação; lanterna de mão; óculos, máscaras e aventais de proteção e maletas com medicações a serem definidas em protocolos, pelos serviços. As ambulâncias de suporte básico que realizam também ações de salvamento deverão conter o material mínimo para salvamento terrestre, aquático e em alturas, maleta de ferramentas e extintor de pó químico seco de 0,8 Kg, fitas e cones sinalizadores para isolamento de áreas, devendo contar, ainda com compartimento isolado para a sua guarda, garantindo um salão de atendimento às vítimas de, no mínimo, 8 metros cúbicos. Todos os equipamentos devem possuir termos de aferição específicos.</t>
  </si>
  <si>
    <t>Deverão conter necessariamente:
Sinalizador óptico e acústico; equipamento de rádio-comunicação fixo e móvel; maca com rodas e articulada; dois suportes de soro; cadeira de rodas dobrável; instalação de rede portátil de oxigênio como descrito no item anterior (é obrigatório que a quantidade de oxigênio permita ventilação mecânica por no mínimo duas horas); respirador mecânico de transporte; oxímetro não-invasivo portátil; monitor cardioversor com bateria e instalação elétrica disponível (em caso de frota deverá haver disponibilidade de um monitor cardioversor com marca-passo externo não-invasivo); bomba de infusão com bateria e equipo; maleta de vias aéreas contendo: máscaras laríngeas e cânulas endotraqueais de vários tamanhos; cateteres de aspiração; adaptadores para cânulas; cateteres nasais; seringa de 20ml; ressuscitador manual adulto/infantil com reservatório; sondas para aspiração traqueal de vários tamanhos; luvas de procedimentos; máscara para ressuscitador adulto/infantil; lidocaína geléia e “spray”; cadarços para fixação de cânula; laringoscópio infantil/adulto com conjunto de lâminas; estetoscópio; esfigmomanômetro adulto/infantil; cânulas orofaríngeas adulto/infantil; fios-guia para intubação; pinça de Magyll; bisturi descartável; cânulas para traqueostomia; material para cricotiroidostomia; conjunto de drenagem torácica; maleta de acesso venoso contendo: tala para fixação de braço; luvas estéreis; recipiente de algodão com anti-séptico; pacotes de gaze estéril; esparadrapo; material para punção de vários tamanhos incluindo agulhas metálicas, plásticas e agulhas especiais para punção óssea; garrote; equipos de macro e microgotas; cateteres específicos para dissecção de veias, tamanho adulto/infantil; tesoura, pinça de Kocher; cortadores de soro; lâminas de bisturi; seringas de vários tamanhos; torneiras de 3 vias; equipo de infusão de 3 vias; frascos de soro fisiológico, ringer lactato e soro glicosado; caixa completa de pequena cirurgia; maleta de parto como descrito nos itens anteriores; sondas vesicais; coletores de urina; protetores para eviscerados ou queimados; espátulas de madeira; sondas nasogástricas ; eletrodos descartáveis; equipos para drogas fotossensíveis; equipo para bombas de infusão; circuito de respirador estéril de reserva; equipamentos de proteção à equipe de atendimento: óculos, máscaras e aventais; cobertor ou filme metálico para conservação do calor do corpo; campo cirúrgico fenestrado; almotolias com anti-séptico; conjunto de colares cervicais; prancha longa para imobilização da coluna. Para o atendimento a neonatos deverá haver pelo menos uma Incubadora de transporte de recém-nascido com bateria e ligação à tomada do veículo (12 volts). A incubadora deve estar apoiada sobre carros com rodas devidamente fixadas quando dentro da ambulância e conter respirador e equipamentos adequados para recém natos. Todos os equipamentos devem possuir termos de aferição específicos.</t>
  </si>
  <si>
    <t xml:space="preserve"> RO000094/2024
</t>
  </si>
  <si>
    <r>
      <rPr>
        <b/>
        <sz val="11"/>
        <color theme="1"/>
        <rFont val="Calibri"/>
        <family val="2"/>
        <scheme val="minor"/>
      </rPr>
      <t>O Termo de Referência traz o seguinte: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13.2.12.</t>
    </r>
    <r>
      <rPr>
        <sz val="11"/>
        <color theme="1"/>
        <rFont val="Calibri"/>
        <family val="2"/>
        <scheme val="minor"/>
      </rPr>
      <t xml:space="preserve"> Exigir de seus empregados que se mantenham uniformizados e identificados por crachás com fotografias recentes, com nº de registro e nome da contratada.      
                                                                                                                                                                                                                                                                                                                                                                                                                                                                                                                                             Observa-se que, apesar da informação fornecida anteriormente, não há descrição ou quantidade especificada para os uniformes. Diante dessa lacuna e com o intuito de agilizar o processo, o setor responsável pela elaboração de planilhas optou por utilizar a Cláusula Trigésima da Convenção Coletiva de Trabalho RO000094/2024 do Sindicato das Empresas de Asseio, Conservação, Limpeza Pública e Locação de Mão-de-Obra do Estado de Rondônia. Conforme estabelecido nesta cláusula, as empresas devem fornecer uniformes completos aos seus trabalhadores. Entende-se entendendo-se como completo, no mínimo </t>
    </r>
    <r>
      <rPr>
        <b/>
        <sz val="11"/>
        <color theme="1"/>
        <rFont val="Calibri"/>
        <family val="2"/>
        <scheme val="minor"/>
      </rPr>
      <t>02 calças, 02 Camisas, 01 crachá e 01 Par de calçados</t>
    </r>
    <r>
      <rPr>
        <sz val="11"/>
        <color theme="1"/>
        <rFont val="Calibri"/>
        <family val="2"/>
        <scheme val="minor"/>
      </rPr>
      <t>, devendo ser substituído a cada seis meses. Serão fornecidos os respectivos equipamentos de proteção individual e coletivos aos quais fazem jus, de acordo com as normas regulamentadoras. Para trabalhadores que fiquem expostos à chuva, ao sol, as empresas deverão fornecer capas impermeáveis, bloqueador solar acima de 30 (trinta) FPS e demais acessórios que se fizerem necessários.</t>
    </r>
  </si>
  <si>
    <t>CARGA
HORÁRIA</t>
  </si>
  <si>
    <t>VALOR TOTAL MENSAL (R$)</t>
  </si>
  <si>
    <t>VALOR TOTAL ANUAL (R$)</t>
  </si>
  <si>
    <t>24 horas/dia
(7 dias por
semana)</t>
  </si>
  <si>
    <r>
      <t xml:space="preserve">Ambulância de Suporte Avançado </t>
    </r>
    <r>
      <rPr>
        <b/>
        <sz val="11"/>
        <rFont val="Calibri"/>
        <family val="2"/>
        <scheme val="minor"/>
      </rPr>
      <t>TIPO "D”</t>
    </r>
    <r>
      <rPr>
        <sz val="11"/>
        <color theme="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color theme="1"/>
        <rFont val="Calibri"/>
        <family val="2"/>
        <scheme val="minor"/>
      </rPr>
      <t>(CENTRO DE MEDICINA TROPICAL DE RONDÔNIA - CEMETRON)</t>
    </r>
  </si>
  <si>
    <r>
      <t xml:space="preserve">Ambulância de Suporte Avançado </t>
    </r>
    <r>
      <rPr>
        <b/>
        <sz val="11"/>
        <rFont val="Calibri"/>
        <family val="2"/>
        <scheme val="minor"/>
      </rPr>
      <t>TIPO "D”</t>
    </r>
    <r>
      <rPr>
        <sz val="1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</t>
    </r>
    <r>
      <rPr>
        <b/>
        <sz val="11"/>
        <rFont val="Calibri"/>
        <family val="2"/>
        <scheme val="minor"/>
      </rPr>
      <t xml:space="preserve"> (HOSPITAL REGIONAL DE SÃO FRANCISCO DO GUAPORÉ - HRSF)</t>
    </r>
  </si>
  <si>
    <r>
      <t xml:space="preserve">Ambulância de Suporte Básico </t>
    </r>
    <r>
      <rPr>
        <b/>
        <sz val="11"/>
        <color rgb="FF000000"/>
        <rFont val="Calibri"/>
        <family val="2"/>
        <scheme val="minor"/>
      </rPr>
      <t>TIPO "B”</t>
    </r>
    <r>
      <rPr>
        <sz val="11"/>
        <color rgb="FF000000"/>
        <rFont val="Calibri"/>
        <family val="2"/>
        <scheme val="minor"/>
      </rPr>
      <t xml:space="preserve"> - VeículoModelo Furgão destinado ao transporte inter 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color rgb="FF000000"/>
        <rFont val="Calibri"/>
        <family val="2"/>
        <scheme val="minor"/>
      </rPr>
      <t>(HOSPITAL REGIONAL DE SÃO FRANCISCO DO GUAPORÉ - HRSF)</t>
    </r>
  </si>
  <si>
    <t>SERVIÇO</t>
  </si>
  <si>
    <t>Motorista/Socorrista - Diurno</t>
  </si>
  <si>
    <t xml:space="preserve">Motorista/Socorrista - Noturno </t>
  </si>
  <si>
    <t>O Termo de Referência aborda, em seu item 3.3, as Especificações Técnicas das Ambulâncias de acordo com a Portaria do Ministério da Saúde nº 2.048/GM de 5 de novembro de 2002. No entanto, o termo não fornece especificações quanto aos percentuais a serem aplicados a esses itens. Com o intuito de otimizar o processo, o setor responsável pela elaboração de planilhas de custos optou por adotar uma taxa de 1% sobre o valor total do veículo para esses materiais e equipamentos. Em caso de aplicação de um percentual superior ao estabelecido por este setor, solicito que seja devidamente justificado.</t>
  </si>
  <si>
    <r>
      <rPr>
        <b/>
        <sz val="11"/>
        <color theme="1"/>
        <rFont val="Calibri"/>
        <family val="2"/>
        <scheme val="minor"/>
      </rPr>
      <t>O Termo de Referência estabelece as seguintes diretrizes: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13.2.14</t>
    </r>
    <r>
      <rPr>
        <sz val="11"/>
        <color theme="1"/>
        <rFont val="Calibri"/>
        <family val="2"/>
        <scheme val="minor"/>
      </rPr>
      <t xml:space="preserve">. O contratado deve arcar com todas as despesas relacionadas aos veículos de sua propriedade, incluindo manutenção preventiva e corretiva, limpeza, acidentes, pedágio, impostos, estacionamento, taxas, licenciamentos (como IPVA), seguro obrigatório, taxa de emplacamento, eventuais multas e penalidades, bem como quaisquer outras despesas que impactem direta ou indiretamente nos serviços contratados. A contratante fica isenta de qualquer responsabilidade jurídica ou financeira nessas situações.
</t>
    </r>
    <r>
      <rPr>
        <b/>
        <sz val="11"/>
        <color theme="1"/>
        <rFont val="Calibri"/>
        <family val="2"/>
        <scheme val="minor"/>
      </rPr>
      <t>13.2.21</t>
    </r>
    <r>
      <rPr>
        <sz val="11"/>
        <color theme="1"/>
        <rFont val="Calibri"/>
        <family val="2"/>
        <scheme val="minor"/>
      </rPr>
      <t>. É responsabilidade do contratado realizar a manutenção preventiva e corretiva dos veículos, seguindo as recomendações do fabricante, incluindo serviços de funilaria, lubrificação, substituição de pneus e peças desgastadas.
Apesar dessas disposições, o termo não especifica os percentuais a serem aplicados para o custo fixo (que abrange licenciamento, seguro, etc.) e o custo variável (que inclui manutenção, pneus, câmaras, entre outros). Para agilizar o processo, o setor encarregado da elaboração das planilhas de custos optou por adotar uma taxa de 10% sobre o valor total do veículo para estimar o custo fixo e 5% para o custo variável. No entanto, caso a empresa opte por aplicar um percentual diferente, é solicitado que justifique tal escolha.</t>
    </r>
  </si>
  <si>
    <t>Informo que os dados utilizados para calcular a estimativa do "Salário Normativo da Categoria Profissional" foram extraídos do Processo 0036.347150/2020-29, especificamente da página 111 do Edital PE 763/2021 RETIFICADO (0033253925). O valor inicial de R$ 13.581,68 foi ajustado de forma progressiva, aplicando-se individualmente as alíquotas sobre o valor apurado no ano anterior, de acordo com os reajustes anuais do salário mínimo. Para o ano de 2022, foi aplicada uma alíquota de 10,18%, sobre o valor de 2021; para 2023, uma alíquota de 8,9%, sobre o valor de 2022; e, finalmente, para 2024, a alíquota de 6,97%, sobre o valor de 2023. Esse procedimento foi adotado devido à ausência de acordo, convenção coletiva ou sentença normativa específica para a categoria, conforme estipulado pela Instrução Normativa Nº 05/2017/SEGES, que determina que, na falta desses instrumentos, o valor pode ser baseado nos salários praticados no mercado ou apurados em publicações ou pesquisas setoriais.</t>
  </si>
  <si>
    <r>
      <t xml:space="preserve">Ambulância de Suporte Básico </t>
    </r>
    <r>
      <rPr>
        <b/>
        <sz val="11"/>
        <color rgb="FF000000"/>
        <rFont val="Calibri"/>
        <family val="2"/>
        <scheme val="minor"/>
      </rPr>
      <t>TIPO "B”</t>
    </r>
    <r>
      <rPr>
        <sz val="11"/>
        <color rgb="FF000000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color rgb="FF000000"/>
        <rFont val="Calibri"/>
        <family val="2"/>
        <scheme val="minor"/>
      </rPr>
      <t>(CENTRO DE MEDICINA TROPICAL DE RONDÔNIA - CEMETRON)</t>
    </r>
  </si>
  <si>
    <t>Quantidade Anual</t>
  </si>
  <si>
    <t xml:space="preserve">Quantidade Mensal </t>
  </si>
  <si>
    <t>Valor m3</t>
  </si>
  <si>
    <t>OXIGÊNIO GASOSO</t>
  </si>
  <si>
    <t>m3</t>
  </si>
  <si>
    <t>AR COMPRIMIDO MEDICINAL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</si>
</sst>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&quot;R$&quot;\ #,##0.0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i/>
      <sz val="10"/>
      <color rgb="FF002060"/>
      <name val="Calibri"/>
      <family val="2"/>
      <scheme val="minor"/>
    </font>
    <font>
      <b/>
      <sz val="8"/>
      <color rgb="FF000000"/>
      <name val="Verdana"/>
      <family val="2"/>
    </font>
    <font>
      <b/>
      <sz val="16"/>
      <color rgb="FF00206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000000"/>
      <name val="Verdana"/>
      <family val="2"/>
    </font>
    <font>
      <b/>
      <sz val="8"/>
      <color rgb="FFFF0000"/>
      <name val="Verdana"/>
      <family val="2"/>
    </font>
    <font>
      <sz val="14"/>
      <color rgb="FF000000"/>
      <name val="Times New Roman"/>
      <family val="1"/>
    </font>
    <font>
      <sz val="10"/>
      <color rgb="FF000000"/>
      <name val="Verdana"/>
      <family val="2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color indexed="10"/>
      <name val="Arial"/>
      <family val="2"/>
    </font>
    <font>
      <b/>
      <sz val="14"/>
      <color indexed="48"/>
      <name val="Trebuchet MS"/>
      <family val="2"/>
    </font>
    <font>
      <b/>
      <sz val="14"/>
      <color indexed="10"/>
      <name val="Trebuchet MS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trike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1" fillId="0" borderId="0"/>
    <xf numFmtId="0" fontId="30" fillId="0" borderId="0"/>
    <xf numFmtId="43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33" fillId="0" borderId="0"/>
    <xf numFmtId="43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34" fillId="0" borderId="0"/>
  </cellStyleXfs>
  <cellXfs count="522">
    <xf numFmtId="0" fontId="0" fillId="0" borderId="0" xfId="0"/>
    <xf numFmtId="0" fontId="6" fillId="2" borderId="12" xfId="0" applyFont="1" applyFill="1" applyBorder="1" applyAlignment="1">
      <alignment wrapText="1"/>
    </xf>
    <xf numFmtId="0" fontId="6" fillId="2" borderId="13" xfId="0" applyFont="1" applyFill="1" applyBorder="1" applyAlignment="1">
      <alignment horizontal="center" wrapText="1"/>
    </xf>
    <xf numFmtId="0" fontId="8" fillId="0" borderId="0" xfId="0" applyFont="1" applyAlignment="1">
      <alignment horizontal="justify"/>
    </xf>
    <xf numFmtId="0" fontId="9" fillId="2" borderId="13" xfId="0" applyFont="1" applyFill="1" applyBorder="1" applyAlignment="1">
      <alignment horizontal="justify" wrapText="1"/>
    </xf>
    <xf numFmtId="0" fontId="11" fillId="0" borderId="0" xfId="0" applyFont="1" applyAlignment="1">
      <alignment horizontal="justify" wrapText="1"/>
    </xf>
    <xf numFmtId="0" fontId="12" fillId="2" borderId="13" xfId="0" applyFont="1" applyFill="1" applyBorder="1" applyAlignment="1">
      <alignment horizontal="center" wrapText="1"/>
    </xf>
    <xf numFmtId="0" fontId="9" fillId="2" borderId="13" xfId="0" applyFont="1" applyFill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/>
    <xf numFmtId="0" fontId="9" fillId="2" borderId="14" xfId="0" applyFont="1" applyFill="1" applyBorder="1" applyAlignment="1">
      <alignment horizontal="center" wrapText="1"/>
    </xf>
    <xf numFmtId="0" fontId="0" fillId="0" borderId="13" xfId="0" applyBorder="1"/>
    <xf numFmtId="0" fontId="0" fillId="0" borderId="13" xfId="0" applyBorder="1" applyAlignment="1">
      <alignment horizontal="center"/>
    </xf>
    <xf numFmtId="0" fontId="0" fillId="3" borderId="13" xfId="0" applyFill="1" applyBorder="1"/>
    <xf numFmtId="0" fontId="0" fillId="3" borderId="13" xfId="0" applyFill="1" applyBorder="1" applyAlignment="1">
      <alignment horizontal="center"/>
    </xf>
    <xf numFmtId="0" fontId="0" fillId="0" borderId="14" xfId="0" applyBorder="1"/>
    <xf numFmtId="0" fontId="4" fillId="0" borderId="0" xfId="6" applyAlignment="1" applyProtection="1"/>
    <xf numFmtId="0" fontId="16" fillId="0" borderId="0" xfId="0" applyFont="1" applyAlignment="1">
      <alignment horizontal="center" wrapText="1"/>
    </xf>
    <xf numFmtId="0" fontId="2" fillId="0" borderId="0" xfId="0" applyFont="1"/>
    <xf numFmtId="0" fontId="8" fillId="0" borderId="0" xfId="0" applyFont="1"/>
    <xf numFmtId="0" fontId="18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justify" vertical="center" wrapText="1"/>
    </xf>
    <xf numFmtId="0" fontId="19" fillId="0" borderId="17" xfId="0" applyFont="1" applyBorder="1" applyAlignment="1">
      <alignment horizontal="justify" vertical="center" wrapText="1"/>
    </xf>
    <xf numFmtId="0" fontId="19" fillId="0" borderId="10" xfId="0" applyFont="1" applyBorder="1" applyAlignment="1">
      <alignment horizontal="justify" vertical="center" wrapText="1"/>
    </xf>
    <xf numFmtId="0" fontId="19" fillId="0" borderId="9" xfId="0" applyFont="1" applyBorder="1" applyAlignment="1">
      <alignment horizontal="justify" vertical="center" wrapText="1"/>
    </xf>
    <xf numFmtId="0" fontId="19" fillId="0" borderId="18" xfId="0" applyFont="1" applyBorder="1" applyAlignment="1">
      <alignment horizontal="justify" vertical="center" wrapText="1"/>
    </xf>
    <xf numFmtId="0" fontId="19" fillId="0" borderId="19" xfId="0" applyFont="1" applyBorder="1" applyAlignment="1">
      <alignment horizontal="justify"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justify" vertical="center"/>
    </xf>
    <xf numFmtId="164" fontId="21" fillId="0" borderId="0" xfId="2" applyNumberFormat="1" applyFont="1" applyFill="1" applyBorder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horizontal="justify" vertical="center"/>
    </xf>
    <xf numFmtId="4" fontId="20" fillId="0" borderId="0" xfId="2" applyNumberFormat="1" applyFont="1" applyFill="1" applyBorder="1" applyAlignment="1">
      <alignment vertical="center"/>
    </xf>
    <xf numFmtId="44" fontId="20" fillId="0" borderId="0" xfId="1" applyFont="1" applyFill="1" applyBorder="1" applyAlignment="1">
      <alignment horizontal="justify" vertical="center"/>
    </xf>
    <xf numFmtId="4" fontId="20" fillId="0" borderId="0" xfId="0" applyNumberFormat="1" applyFont="1" applyAlignment="1">
      <alignment vertical="center"/>
    </xf>
    <xf numFmtId="0" fontId="20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2" fillId="2" borderId="22" xfId="0" applyFont="1" applyFill="1" applyBorder="1" applyAlignment="1">
      <alignment horizontal="center" vertical="center"/>
    </xf>
    <xf numFmtId="0" fontId="22" fillId="2" borderId="4" xfId="3" applyFont="1" applyFill="1" applyBorder="1" applyAlignment="1">
      <alignment horizontal="right" vertical="center" wrapText="1"/>
    </xf>
    <xf numFmtId="0" fontId="22" fillId="2" borderId="4" xfId="4" applyFont="1" applyFill="1" applyBorder="1" applyAlignment="1">
      <alignment horizontal="justify" vertical="center" wrapText="1"/>
    </xf>
    <xf numFmtId="0" fontId="22" fillId="2" borderId="4" xfId="0" applyFont="1" applyFill="1" applyBorder="1" applyAlignment="1">
      <alignment horizontal="justify" vertical="center"/>
    </xf>
    <xf numFmtId="0" fontId="22" fillId="2" borderId="22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vertical="center"/>
    </xf>
    <xf numFmtId="0" fontId="22" fillId="2" borderId="4" xfId="5" applyFont="1" applyFill="1" applyBorder="1" applyAlignment="1">
      <alignment vertical="center" wrapText="1"/>
    </xf>
    <xf numFmtId="0" fontId="22" fillId="2" borderId="22" xfId="5" applyFont="1" applyFill="1" applyBorder="1" applyAlignment="1">
      <alignment horizontal="center" vertical="center" wrapText="1"/>
    </xf>
    <xf numFmtId="164" fontId="23" fillId="2" borderId="4" xfId="2" applyNumberFormat="1" applyFont="1" applyFill="1" applyBorder="1" applyAlignment="1">
      <alignment horizontal="justify" vertical="center"/>
    </xf>
    <xf numFmtId="0" fontId="22" fillId="0" borderId="22" xfId="5" applyFont="1" applyBorder="1" applyAlignment="1">
      <alignment horizontal="center" vertical="center" wrapText="1"/>
    </xf>
    <xf numFmtId="0" fontId="22" fillId="0" borderId="4" xfId="5" applyFont="1" applyBorder="1" applyAlignment="1">
      <alignment vertical="center" wrapText="1"/>
    </xf>
    <xf numFmtId="0" fontId="22" fillId="0" borderId="4" xfId="5" applyFont="1" applyBorder="1" applyAlignment="1">
      <alignment vertical="center"/>
    </xf>
    <xf numFmtId="0" fontId="22" fillId="0" borderId="4" xfId="0" applyFont="1" applyBorder="1" applyAlignment="1">
      <alignment vertical="center"/>
    </xf>
    <xf numFmtId="0" fontId="22" fillId="2" borderId="4" xfId="5" applyFont="1" applyFill="1" applyBorder="1" applyAlignment="1">
      <alignment vertical="center"/>
    </xf>
    <xf numFmtId="165" fontId="23" fillId="2" borderId="4" xfId="0" applyNumberFormat="1" applyFont="1" applyFill="1" applyBorder="1" applyAlignment="1">
      <alignment horizontal="right" vertical="center"/>
    </xf>
    <xf numFmtId="10" fontId="22" fillId="0" borderId="4" xfId="2" applyNumberFormat="1" applyFont="1" applyFill="1" applyBorder="1" applyAlignment="1">
      <alignment horizontal="center" vertical="center"/>
    </xf>
    <xf numFmtId="10" fontId="23" fillId="5" borderId="4" xfId="2" applyNumberFormat="1" applyFont="1" applyFill="1" applyBorder="1" applyAlignment="1">
      <alignment horizontal="center" vertical="center"/>
    </xf>
    <xf numFmtId="165" fontId="23" fillId="2" borderId="4" xfId="5" applyNumberFormat="1" applyFont="1" applyFill="1" applyBorder="1" applyAlignment="1">
      <alignment horizontal="center" vertical="center" wrapText="1"/>
    </xf>
    <xf numFmtId="165" fontId="23" fillId="2" borderId="21" xfId="5" applyNumberFormat="1" applyFont="1" applyFill="1" applyBorder="1" applyAlignment="1">
      <alignment horizontal="center" vertical="center" wrapText="1"/>
    </xf>
    <xf numFmtId="165" fontId="22" fillId="2" borderId="21" xfId="0" applyNumberFormat="1" applyFont="1" applyFill="1" applyBorder="1" applyAlignment="1">
      <alignment horizontal="center" vertical="center"/>
    </xf>
    <xf numFmtId="165" fontId="22" fillId="2" borderId="21" xfId="0" quotePrefix="1" applyNumberFormat="1" applyFont="1" applyFill="1" applyBorder="1" applyAlignment="1">
      <alignment horizontal="center" vertical="center"/>
    </xf>
    <xf numFmtId="165" fontId="23" fillId="6" borderId="21" xfId="0" applyNumberFormat="1" applyFont="1" applyFill="1" applyBorder="1" applyAlignment="1">
      <alignment horizontal="center" vertical="center"/>
    </xf>
    <xf numFmtId="165" fontId="22" fillId="0" borderId="21" xfId="0" applyNumberFormat="1" applyFont="1" applyBorder="1" applyAlignment="1">
      <alignment horizontal="center" vertical="center"/>
    </xf>
    <xf numFmtId="165" fontId="23" fillId="5" borderId="21" xfId="0" applyNumberFormat="1" applyFont="1" applyFill="1" applyBorder="1" applyAlignment="1">
      <alignment horizontal="center" vertical="center"/>
    </xf>
    <xf numFmtId="165" fontId="22" fillId="0" borderId="21" xfId="0" quotePrefix="1" applyNumberFormat="1" applyFont="1" applyBorder="1" applyAlignment="1">
      <alignment horizontal="center" vertical="center"/>
    </xf>
    <xf numFmtId="165" fontId="23" fillId="2" borderId="4" xfId="0" applyNumberFormat="1" applyFont="1" applyFill="1" applyBorder="1" applyAlignment="1">
      <alignment horizontal="center" vertical="center"/>
    </xf>
    <xf numFmtId="165" fontId="23" fillId="6" borderId="4" xfId="0" applyNumberFormat="1" applyFont="1" applyFill="1" applyBorder="1" applyAlignment="1">
      <alignment horizontal="center" vertical="center"/>
    </xf>
    <xf numFmtId="165" fontId="22" fillId="0" borderId="4" xfId="2" applyNumberFormat="1" applyFont="1" applyFill="1" applyBorder="1" applyAlignment="1">
      <alignment horizontal="center" vertical="center"/>
    </xf>
    <xf numFmtId="0" fontId="22" fillId="0" borderId="4" xfId="5" applyFont="1" applyBorder="1" applyAlignment="1">
      <alignment horizontal="center" vertical="center" wrapText="1"/>
    </xf>
    <xf numFmtId="165" fontId="23" fillId="0" borderId="4" xfId="5" applyNumberFormat="1" applyFont="1" applyBorder="1" applyAlignment="1">
      <alignment horizontal="center" vertical="center" wrapText="1"/>
    </xf>
    <xf numFmtId="165" fontId="23" fillId="4" borderId="4" xfId="5" applyNumberFormat="1" applyFont="1" applyFill="1" applyBorder="1" applyAlignment="1">
      <alignment horizontal="center" vertical="center" wrapText="1"/>
    </xf>
    <xf numFmtId="165" fontId="23" fillId="3" borderId="4" xfId="5" applyNumberFormat="1" applyFont="1" applyFill="1" applyBorder="1" applyAlignment="1">
      <alignment horizontal="center" vertical="center" wrapText="1"/>
    </xf>
    <xf numFmtId="10" fontId="23" fillId="2" borderId="4" xfId="2" applyNumberFormat="1" applyFont="1" applyFill="1" applyBorder="1" applyAlignment="1">
      <alignment vertical="center"/>
    </xf>
    <xf numFmtId="165" fontId="22" fillId="2" borderId="4" xfId="2" applyNumberFormat="1" applyFont="1" applyFill="1" applyBorder="1" applyAlignment="1">
      <alignment horizontal="center" vertical="center"/>
    </xf>
    <xf numFmtId="0" fontId="31" fillId="4" borderId="22" xfId="5" applyFont="1" applyFill="1" applyBorder="1" applyAlignment="1">
      <alignment horizontal="center"/>
    </xf>
    <xf numFmtId="165" fontId="22" fillId="2" borderId="4" xfId="0" applyNumberFormat="1" applyFont="1" applyFill="1" applyBorder="1" applyAlignment="1">
      <alignment horizontal="center" vertical="center"/>
    </xf>
    <xf numFmtId="164" fontId="25" fillId="2" borderId="4" xfId="2" applyNumberFormat="1" applyFont="1" applyFill="1" applyBorder="1" applyAlignment="1">
      <alignment horizontal="justify" vertical="center"/>
    </xf>
    <xf numFmtId="165" fontId="22" fillId="2" borderId="4" xfId="0" quotePrefix="1" applyNumberFormat="1" applyFont="1" applyFill="1" applyBorder="1" applyAlignment="1">
      <alignment horizontal="center" vertical="center"/>
    </xf>
    <xf numFmtId="165" fontId="22" fillId="0" borderId="4" xfId="0" applyNumberFormat="1" applyFont="1" applyBorder="1" applyAlignment="1">
      <alignment horizontal="center" vertical="center"/>
    </xf>
    <xf numFmtId="165" fontId="23" fillId="5" borderId="4" xfId="0" applyNumberFormat="1" applyFont="1" applyFill="1" applyBorder="1" applyAlignment="1">
      <alignment horizontal="center" vertical="center" wrapText="1"/>
    </xf>
    <xf numFmtId="165" fontId="23" fillId="5" borderId="4" xfId="0" applyNumberFormat="1" applyFont="1" applyFill="1" applyBorder="1" applyAlignment="1">
      <alignment horizontal="center" vertical="center"/>
    </xf>
    <xf numFmtId="0" fontId="22" fillId="0" borderId="4" xfId="0" applyFont="1" applyBorder="1" applyAlignment="1">
      <alignment horizontal="left" vertical="center"/>
    </xf>
    <xf numFmtId="10" fontId="32" fillId="0" borderId="4" xfId="0" applyNumberFormat="1" applyFont="1" applyBorder="1" applyAlignment="1">
      <alignment horizontal="center" vertical="center"/>
    </xf>
    <xf numFmtId="165" fontId="23" fillId="5" borderId="4" xfId="2" applyNumberFormat="1" applyFont="1" applyFill="1" applyBorder="1" applyAlignment="1">
      <alignment horizontal="center" vertical="center"/>
    </xf>
    <xf numFmtId="164" fontId="23" fillId="0" borderId="4" xfId="2" applyNumberFormat="1" applyFont="1" applyFill="1" applyBorder="1" applyAlignment="1">
      <alignment horizontal="center" vertical="center"/>
    </xf>
    <xf numFmtId="165" fontId="22" fillId="0" borderId="4" xfId="0" quotePrefix="1" applyNumberFormat="1" applyFont="1" applyBorder="1" applyAlignment="1">
      <alignment horizontal="center" vertical="center"/>
    </xf>
    <xf numFmtId="165" fontId="23" fillId="5" borderId="4" xfId="5" applyNumberFormat="1" applyFont="1" applyFill="1" applyBorder="1" applyAlignment="1">
      <alignment horizontal="center" vertical="center" wrapText="1"/>
    </xf>
    <xf numFmtId="165" fontId="23" fillId="6" borderId="4" xfId="5" applyNumberFormat="1" applyFont="1" applyFill="1" applyBorder="1" applyAlignment="1">
      <alignment horizontal="center" vertical="center" wrapText="1"/>
    </xf>
    <xf numFmtId="165" fontId="22" fillId="0" borderId="4" xfId="5" applyNumberFormat="1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165" fontId="22" fillId="0" borderId="4" xfId="5" applyNumberFormat="1" applyFont="1" applyBorder="1" applyAlignment="1">
      <alignment horizontal="center" vertical="center"/>
    </xf>
    <xf numFmtId="0" fontId="22" fillId="2" borderId="22" xfId="5" applyFont="1" applyFill="1" applyBorder="1" applyAlignment="1">
      <alignment horizontal="center" vertical="center"/>
    </xf>
    <xf numFmtId="10" fontId="23" fillId="5" borderId="4" xfId="0" applyNumberFormat="1" applyFont="1" applyFill="1" applyBorder="1" applyAlignment="1">
      <alignment horizontal="center" vertical="center" wrapText="1"/>
    </xf>
    <xf numFmtId="10" fontId="23" fillId="2" borderId="4" xfId="2" applyNumberFormat="1" applyFont="1" applyFill="1" applyBorder="1" applyAlignment="1">
      <alignment horizontal="center" vertical="center"/>
    </xf>
    <xf numFmtId="10" fontId="23" fillId="5" borderId="4" xfId="5" applyNumberFormat="1" applyFont="1" applyFill="1" applyBorder="1" applyAlignment="1">
      <alignment horizontal="center" vertical="center" wrapText="1"/>
    </xf>
    <xf numFmtId="0" fontId="22" fillId="0" borderId="4" xfId="5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32" fillId="0" borderId="4" xfId="0" applyFont="1" applyBorder="1" applyAlignment="1">
      <alignment horizontal="left" vertical="center"/>
    </xf>
    <xf numFmtId="0" fontId="22" fillId="0" borderId="4" xfId="0" applyFont="1" applyBorder="1" applyAlignment="1">
      <alignment vertical="center" wrapText="1"/>
    </xf>
    <xf numFmtId="0" fontId="23" fillId="0" borderId="4" xfId="0" applyFont="1" applyBorder="1" applyAlignment="1">
      <alignment vertical="center"/>
    </xf>
    <xf numFmtId="10" fontId="23" fillId="0" borderId="4" xfId="0" applyNumberFormat="1" applyFont="1" applyBorder="1" applyAlignment="1">
      <alignment horizontal="center" vertical="center"/>
    </xf>
    <xf numFmtId="165" fontId="23" fillId="0" borderId="4" xfId="0" applyNumberFormat="1" applyFont="1" applyBorder="1" applyAlignment="1">
      <alignment horizontal="center" vertical="center"/>
    </xf>
    <xf numFmtId="165" fontId="22" fillId="2" borderId="4" xfId="5" applyNumberFormat="1" applyFont="1" applyFill="1" applyBorder="1" applyAlignment="1">
      <alignment horizontal="center" vertical="center"/>
    </xf>
    <xf numFmtId="0" fontId="32" fillId="0" borderId="4" xfId="0" applyFont="1" applyBorder="1" applyAlignment="1">
      <alignment horizontal="center" vertical="center"/>
    </xf>
    <xf numFmtId="165" fontId="23" fillId="5" borderId="11" xfId="5" applyNumberFormat="1" applyFont="1" applyFill="1" applyBorder="1" applyAlignment="1">
      <alignment horizontal="center" vertical="center" wrapText="1"/>
    </xf>
    <xf numFmtId="165" fontId="31" fillId="4" borderId="4" xfId="5" applyNumberFormat="1" applyFont="1" applyFill="1" applyBorder="1" applyAlignment="1">
      <alignment horizontal="center" vertical="center" wrapText="1"/>
    </xf>
    <xf numFmtId="2" fontId="22" fillId="2" borderId="4" xfId="5" applyNumberFormat="1" applyFont="1" applyFill="1" applyBorder="1" applyAlignment="1">
      <alignment horizontal="center" vertical="center"/>
    </xf>
    <xf numFmtId="0" fontId="23" fillId="0" borderId="4" xfId="6" applyFont="1" applyFill="1" applyBorder="1" applyAlignment="1" applyProtection="1">
      <alignment horizontal="left" vertical="center"/>
    </xf>
    <xf numFmtId="0" fontId="23" fillId="0" borderId="4" xfId="0" applyFont="1" applyBorder="1" applyAlignment="1">
      <alignment horizontal="left" vertical="center"/>
    </xf>
    <xf numFmtId="164" fontId="23" fillId="2" borderId="4" xfId="2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165" fontId="28" fillId="7" borderId="15" xfId="0" applyNumberFormat="1" applyFont="1" applyFill="1" applyBorder="1" applyAlignment="1">
      <alignment horizontal="center" vertical="center"/>
    </xf>
    <xf numFmtId="1" fontId="29" fillId="0" borderId="4" xfId="0" applyNumberFormat="1" applyFont="1" applyBorder="1" applyAlignment="1">
      <alignment horizontal="center" vertical="center" shrinkToFit="1"/>
    </xf>
    <xf numFmtId="0" fontId="28" fillId="5" borderId="4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8" fillId="5" borderId="22" xfId="0" applyFont="1" applyFill="1" applyBorder="1" applyAlignment="1">
      <alignment horizontal="center" vertical="center"/>
    </xf>
    <xf numFmtId="0" fontId="28" fillId="5" borderId="21" xfId="0" applyFont="1" applyFill="1" applyBorder="1" applyAlignment="1">
      <alignment horizontal="center" vertical="center"/>
    </xf>
    <xf numFmtId="165" fontId="27" fillId="0" borderId="4" xfId="7" applyNumberFormat="1" applyFont="1" applyBorder="1" applyAlignment="1">
      <alignment horizontal="center" vertical="center"/>
    </xf>
    <xf numFmtId="165" fontId="27" fillId="0" borderId="21" xfId="7" applyNumberFormat="1" applyFont="1" applyBorder="1" applyAlignment="1">
      <alignment horizontal="center" vertical="center"/>
    </xf>
    <xf numFmtId="0" fontId="27" fillId="0" borderId="22" xfId="0" applyFont="1" applyBorder="1" applyAlignment="1">
      <alignment horizontal="center" vertical="center"/>
    </xf>
    <xf numFmtId="0" fontId="27" fillId="0" borderId="4" xfId="0" applyFont="1" applyBorder="1" applyAlignment="1">
      <alignment horizontal="left" vertical="center" wrapText="1"/>
    </xf>
    <xf numFmtId="165" fontId="2" fillId="7" borderId="15" xfId="7" applyNumberFormat="1" applyFont="1" applyFill="1" applyBorder="1" applyAlignment="1">
      <alignment horizontal="center"/>
    </xf>
    <xf numFmtId="165" fontId="22" fillId="2" borderId="38" xfId="0" applyNumberFormat="1" applyFont="1" applyFill="1" applyBorder="1" applyAlignment="1">
      <alignment horizontal="center" vertical="center"/>
    </xf>
    <xf numFmtId="165" fontId="22" fillId="0" borderId="38" xfId="0" quotePrefix="1" applyNumberFormat="1" applyFont="1" applyBorder="1" applyAlignment="1">
      <alignment horizontal="center" vertical="center"/>
    </xf>
    <xf numFmtId="165" fontId="22" fillId="0" borderId="38" xfId="0" applyNumberFormat="1" applyFont="1" applyBorder="1" applyAlignment="1">
      <alignment horizontal="center" vertical="center"/>
    </xf>
    <xf numFmtId="165" fontId="23" fillId="5" borderId="38" xfId="0" applyNumberFormat="1" applyFont="1" applyFill="1" applyBorder="1" applyAlignment="1">
      <alignment horizontal="center" vertical="center"/>
    </xf>
    <xf numFmtId="165" fontId="25" fillId="2" borderId="4" xfId="2" applyNumberFormat="1" applyFont="1" applyFill="1" applyBorder="1" applyAlignment="1">
      <alignment horizontal="justify" vertical="center"/>
    </xf>
    <xf numFmtId="165" fontId="23" fillId="2" borderId="4" xfId="2" applyNumberFormat="1" applyFont="1" applyFill="1" applyBorder="1" applyAlignment="1">
      <alignment horizontal="justify" vertical="center"/>
    </xf>
    <xf numFmtId="165" fontId="23" fillId="2" borderId="38" xfId="5" applyNumberFormat="1" applyFont="1" applyFill="1" applyBorder="1" applyAlignment="1">
      <alignment horizontal="center" vertical="center" wrapText="1"/>
    </xf>
    <xf numFmtId="165" fontId="22" fillId="2" borderId="38" xfId="0" quotePrefix="1" applyNumberFormat="1" applyFont="1" applyFill="1" applyBorder="1" applyAlignment="1">
      <alignment horizontal="center" vertical="center"/>
    </xf>
    <xf numFmtId="165" fontId="23" fillId="6" borderId="38" xfId="0" applyNumberFormat="1" applyFont="1" applyFill="1" applyBorder="1" applyAlignment="1">
      <alignment horizontal="center" vertical="center"/>
    </xf>
    <xf numFmtId="165" fontId="23" fillId="4" borderId="38" xfId="5" applyNumberFormat="1" applyFont="1" applyFill="1" applyBorder="1" applyAlignment="1">
      <alignment horizontal="center" vertical="center" wrapText="1"/>
    </xf>
    <xf numFmtId="165" fontId="23" fillId="0" borderId="38" xfId="5" applyNumberFormat="1" applyFont="1" applyBorder="1" applyAlignment="1">
      <alignment horizontal="center" vertical="center" wrapText="1"/>
    </xf>
    <xf numFmtId="165" fontId="23" fillId="2" borderId="38" xfId="0" applyNumberFormat="1" applyFont="1" applyFill="1" applyBorder="1" applyAlignment="1">
      <alignment horizontal="center" vertical="center"/>
    </xf>
    <xf numFmtId="165" fontId="23" fillId="4" borderId="38" xfId="0" applyNumberFormat="1" applyFont="1" applyFill="1" applyBorder="1" applyAlignment="1">
      <alignment horizontal="center" vertical="center"/>
    </xf>
    <xf numFmtId="165" fontId="22" fillId="0" borderId="38" xfId="1" applyNumberFormat="1" applyFont="1" applyFill="1" applyBorder="1" applyAlignment="1">
      <alignment horizontal="center" vertical="center"/>
    </xf>
    <xf numFmtId="165" fontId="23" fillId="9" borderId="38" xfId="5" applyNumberFormat="1" applyFont="1" applyFill="1" applyBorder="1" applyAlignment="1">
      <alignment horizontal="center" vertical="center" wrapText="1"/>
    </xf>
    <xf numFmtId="165" fontId="23" fillId="0" borderId="38" xfId="0" applyNumberFormat="1" applyFont="1" applyBorder="1" applyAlignment="1">
      <alignment horizontal="center" vertical="center"/>
    </xf>
    <xf numFmtId="165" fontId="23" fillId="5" borderId="41" xfId="0" applyNumberFormat="1" applyFont="1" applyFill="1" applyBorder="1" applyAlignment="1">
      <alignment horizontal="center" vertical="center"/>
    </xf>
    <xf numFmtId="165" fontId="31" fillId="4" borderId="38" xfId="5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165" fontId="0" fillId="2" borderId="4" xfId="0" applyNumberForma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165" fontId="0" fillId="2" borderId="33" xfId="0" applyNumberForma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/>
    </xf>
    <xf numFmtId="165" fontId="0" fillId="2" borderId="35" xfId="0" applyNumberFormat="1" applyFill="1" applyBorder="1" applyAlignment="1">
      <alignment horizontal="center" vertical="center"/>
    </xf>
    <xf numFmtId="165" fontId="0" fillId="2" borderId="4" xfId="0" applyNumberFormat="1" applyFill="1" applyBorder="1" applyAlignment="1">
      <alignment horizontal="center" vertical="center"/>
    </xf>
    <xf numFmtId="165" fontId="0" fillId="2" borderId="11" xfId="0" applyNumberForma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/>
    </xf>
    <xf numFmtId="165" fontId="0" fillId="2" borderId="11" xfId="0" applyNumberFormat="1" applyFill="1" applyBorder="1" applyAlignment="1">
      <alignment horizontal="center" vertical="center"/>
    </xf>
    <xf numFmtId="165" fontId="0" fillId="2" borderId="26" xfId="0" applyNumberForma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65" fontId="0" fillId="2" borderId="21" xfId="0" applyNumberFormat="1" applyFill="1" applyBorder="1" applyAlignment="1">
      <alignment horizontal="center" vertical="center"/>
    </xf>
    <xf numFmtId="0" fontId="23" fillId="4" borderId="21" xfId="0" applyFont="1" applyFill="1" applyBorder="1" applyAlignment="1">
      <alignment vertical="center"/>
    </xf>
    <xf numFmtId="10" fontId="22" fillId="2" borderId="4" xfId="2" applyNumberFormat="1" applyFont="1" applyFill="1" applyBorder="1" applyAlignment="1">
      <alignment horizontal="center" vertical="center"/>
    </xf>
    <xf numFmtId="165" fontId="23" fillId="4" borderId="4" xfId="0" applyNumberFormat="1" applyFont="1" applyFill="1" applyBorder="1" applyAlignment="1">
      <alignment horizontal="center" vertical="center"/>
    </xf>
    <xf numFmtId="165" fontId="22" fillId="0" borderId="4" xfId="1" applyNumberFormat="1" applyFont="1" applyFill="1" applyBorder="1" applyAlignment="1">
      <alignment horizontal="center" vertical="center"/>
    </xf>
    <xf numFmtId="165" fontId="23" fillId="9" borderId="4" xfId="5" applyNumberFormat="1" applyFont="1" applyFill="1" applyBorder="1" applyAlignment="1">
      <alignment horizontal="center" vertical="center" wrapText="1"/>
    </xf>
    <xf numFmtId="165" fontId="22" fillId="2" borderId="38" xfId="5" applyNumberFormat="1" applyFont="1" applyFill="1" applyBorder="1" applyAlignment="1">
      <alignment horizontal="center" vertical="center"/>
    </xf>
    <xf numFmtId="165" fontId="23" fillId="5" borderId="11" xfId="0" applyNumberFormat="1" applyFont="1" applyFill="1" applyBorder="1" applyAlignment="1">
      <alignment horizontal="center" vertical="center"/>
    </xf>
    <xf numFmtId="4" fontId="23" fillId="2" borderId="38" xfId="0" applyNumberFormat="1" applyFont="1" applyFill="1" applyBorder="1" applyAlignment="1">
      <alignment horizontal="center" vertical="center"/>
    </xf>
    <xf numFmtId="165" fontId="23" fillId="3" borderId="38" xfId="5" applyNumberFormat="1" applyFont="1" applyFill="1" applyBorder="1" applyAlignment="1">
      <alignment horizontal="center" vertical="center" wrapText="1"/>
    </xf>
    <xf numFmtId="0" fontId="23" fillId="8" borderId="4" xfId="5" applyFont="1" applyFill="1" applyBorder="1" applyAlignment="1">
      <alignment horizontal="center" vertical="center" wrapText="1"/>
    </xf>
    <xf numFmtId="0" fontId="33" fillId="0" borderId="0" xfId="12" applyAlignment="1">
      <alignment horizontal="left" vertical="top"/>
    </xf>
    <xf numFmtId="0" fontId="29" fillId="2" borderId="4" xfId="0" applyFont="1" applyFill="1" applyBorder="1" applyAlignment="1">
      <alignment horizontal="center" vertical="center"/>
    </xf>
    <xf numFmtId="165" fontId="23" fillId="4" borderId="21" xfId="5" applyNumberFormat="1" applyFont="1" applyFill="1" applyBorder="1" applyAlignment="1">
      <alignment horizontal="center" vertical="center" wrapText="1"/>
    </xf>
    <xf numFmtId="0" fontId="31" fillId="4" borderId="4" xfId="5" applyFont="1" applyFill="1" applyBorder="1" applyAlignment="1">
      <alignment horizontal="center" vertical="center" wrapText="1"/>
    </xf>
    <xf numFmtId="165" fontId="23" fillId="0" borderId="21" xfId="5" applyNumberFormat="1" applyFont="1" applyBorder="1" applyAlignment="1">
      <alignment horizontal="center" vertical="center" wrapText="1"/>
    </xf>
    <xf numFmtId="0" fontId="29" fillId="2" borderId="33" xfId="0" applyFont="1" applyFill="1" applyBorder="1" applyAlignment="1">
      <alignment horizontal="center" vertical="center"/>
    </xf>
    <xf numFmtId="165" fontId="0" fillId="2" borderId="33" xfId="0" applyNumberFormat="1" applyFill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/>
    </xf>
    <xf numFmtId="165" fontId="27" fillId="0" borderId="5" xfId="7" applyNumberFormat="1" applyFont="1" applyBorder="1" applyAlignment="1">
      <alignment horizontal="center" vertical="center"/>
    </xf>
    <xf numFmtId="165" fontId="27" fillId="0" borderId="25" xfId="7" applyNumberFormat="1" applyFont="1" applyBorder="1" applyAlignment="1">
      <alignment horizontal="center" vertical="center"/>
    </xf>
    <xf numFmtId="1" fontId="29" fillId="0" borderId="4" xfId="12" applyNumberFormat="1" applyFont="1" applyBorder="1" applyAlignment="1">
      <alignment horizontal="center" vertical="center" shrinkToFit="1"/>
    </xf>
    <xf numFmtId="0" fontId="27" fillId="0" borderId="4" xfId="12" applyFont="1" applyBorder="1" applyAlignment="1">
      <alignment horizontal="center" vertical="center" wrapText="1"/>
    </xf>
    <xf numFmtId="1" fontId="29" fillId="0" borderId="22" xfId="12" applyNumberFormat="1" applyFont="1" applyBorder="1" applyAlignment="1">
      <alignment horizontal="center" vertical="center" shrinkToFit="1"/>
    </xf>
    <xf numFmtId="0" fontId="23" fillId="8" borderId="21" xfId="5" applyFont="1" applyFill="1" applyBorder="1" applyAlignment="1">
      <alignment horizontal="center" vertical="center" wrapText="1"/>
    </xf>
    <xf numFmtId="165" fontId="25" fillId="2" borderId="21" xfId="2" applyNumberFormat="1" applyFont="1" applyFill="1" applyBorder="1" applyAlignment="1">
      <alignment horizontal="justify" vertical="center"/>
    </xf>
    <xf numFmtId="165" fontId="22" fillId="2" borderId="21" xfId="2" applyNumberFormat="1" applyFont="1" applyFill="1" applyBorder="1" applyAlignment="1">
      <alignment horizontal="center" vertical="center"/>
    </xf>
    <xf numFmtId="165" fontId="23" fillId="2" borderId="21" xfId="2" applyNumberFormat="1" applyFont="1" applyFill="1" applyBorder="1" applyAlignment="1">
      <alignment horizontal="justify" vertical="center"/>
    </xf>
    <xf numFmtId="165" fontId="23" fillId="6" borderId="21" xfId="5" applyNumberFormat="1" applyFont="1" applyFill="1" applyBorder="1" applyAlignment="1">
      <alignment horizontal="center" vertical="center" wrapText="1"/>
    </xf>
    <xf numFmtId="165" fontId="22" fillId="0" borderId="21" xfId="2" applyNumberFormat="1" applyFont="1" applyFill="1" applyBorder="1" applyAlignment="1">
      <alignment horizontal="center" vertical="center"/>
    </xf>
    <xf numFmtId="165" fontId="23" fillId="5" borderId="21" xfId="0" applyNumberFormat="1" applyFont="1" applyFill="1" applyBorder="1" applyAlignment="1">
      <alignment horizontal="center" vertical="center" wrapText="1"/>
    </xf>
    <xf numFmtId="0" fontId="22" fillId="4" borderId="21" xfId="0" applyFont="1" applyFill="1" applyBorder="1" applyAlignment="1">
      <alignment horizontal="left" vertical="center" wrapText="1"/>
    </xf>
    <xf numFmtId="165" fontId="23" fillId="5" borderId="21" xfId="2" applyNumberFormat="1" applyFont="1" applyFill="1" applyBorder="1" applyAlignment="1">
      <alignment horizontal="center" vertical="center"/>
    </xf>
    <xf numFmtId="165" fontId="31" fillId="4" borderId="21" xfId="5" applyNumberFormat="1" applyFont="1" applyFill="1" applyBorder="1" applyAlignment="1">
      <alignment horizontal="center" vertical="center" wrapText="1"/>
    </xf>
    <xf numFmtId="165" fontId="23" fillId="5" borderId="21" xfId="5" applyNumberFormat="1" applyFont="1" applyFill="1" applyBorder="1" applyAlignment="1">
      <alignment horizontal="center" vertical="center" wrapText="1"/>
    </xf>
    <xf numFmtId="165" fontId="23" fillId="2" borderId="21" xfId="0" applyNumberFormat="1" applyFont="1" applyFill="1" applyBorder="1" applyAlignment="1">
      <alignment horizontal="right" vertical="center"/>
    </xf>
    <xf numFmtId="165" fontId="23" fillId="2" borderId="21" xfId="0" applyNumberFormat="1" applyFont="1" applyFill="1" applyBorder="1" applyAlignment="1">
      <alignment horizontal="center" vertical="center"/>
    </xf>
    <xf numFmtId="165" fontId="22" fillId="0" borderId="21" xfId="5" applyNumberFormat="1" applyFont="1" applyBorder="1" applyAlignment="1">
      <alignment horizontal="center" vertical="center" wrapText="1"/>
    </xf>
    <xf numFmtId="165" fontId="22" fillId="0" borderId="21" xfId="5" applyNumberFormat="1" applyFont="1" applyBorder="1" applyAlignment="1">
      <alignment horizontal="center" vertical="center"/>
    </xf>
    <xf numFmtId="165" fontId="23" fillId="0" borderId="21" xfId="0" applyNumberFormat="1" applyFont="1" applyBorder="1" applyAlignment="1">
      <alignment horizontal="center" vertical="center"/>
    </xf>
    <xf numFmtId="165" fontId="23" fillId="3" borderId="21" xfId="5" applyNumberFormat="1" applyFont="1" applyFill="1" applyBorder="1" applyAlignment="1">
      <alignment horizontal="center" vertical="center" wrapText="1"/>
    </xf>
    <xf numFmtId="165" fontId="23" fillId="5" borderId="26" xfId="5" applyNumberFormat="1" applyFont="1" applyFill="1" applyBorder="1" applyAlignment="1">
      <alignment horizontal="center" vertical="center" wrapText="1"/>
    </xf>
    <xf numFmtId="10" fontId="23" fillId="2" borderId="2" xfId="2" applyNumberFormat="1" applyFont="1" applyFill="1" applyBorder="1" applyAlignment="1">
      <alignment vertical="center"/>
    </xf>
    <xf numFmtId="0" fontId="22" fillId="0" borderId="2" xfId="0" applyFont="1" applyBorder="1" applyAlignment="1">
      <alignment horizontal="center" vertical="center"/>
    </xf>
    <xf numFmtId="0" fontId="22" fillId="0" borderId="2" xfId="5" applyFont="1" applyBorder="1" applyAlignment="1">
      <alignment horizontal="center" vertical="center"/>
    </xf>
    <xf numFmtId="4" fontId="23" fillId="2" borderId="4" xfId="0" applyNumberFormat="1" applyFont="1" applyFill="1" applyBorder="1" applyAlignment="1">
      <alignment horizontal="center" vertical="center"/>
    </xf>
    <xf numFmtId="0" fontId="32" fillId="4" borderId="1" xfId="0" applyFont="1" applyFill="1" applyBorder="1" applyAlignment="1">
      <alignment horizontal="left" vertical="center" wrapText="1"/>
    </xf>
    <xf numFmtId="10" fontId="23" fillId="2" borderId="1" xfId="2" applyNumberFormat="1" applyFont="1" applyFill="1" applyBorder="1" applyAlignment="1">
      <alignment vertical="center"/>
    </xf>
    <xf numFmtId="165" fontId="22" fillId="2" borderId="21" xfId="5" applyNumberFormat="1" applyFont="1" applyFill="1" applyBorder="1" applyAlignment="1">
      <alignment horizontal="center" vertical="center"/>
    </xf>
    <xf numFmtId="165" fontId="23" fillId="4" borderId="21" xfId="0" applyNumberFormat="1" applyFont="1" applyFill="1" applyBorder="1" applyAlignment="1">
      <alignment horizontal="center" vertical="center"/>
    </xf>
    <xf numFmtId="165" fontId="22" fillId="0" borderId="21" xfId="1" applyNumberFormat="1" applyFont="1" applyFill="1" applyBorder="1" applyAlignment="1">
      <alignment horizontal="center" vertical="center"/>
    </xf>
    <xf numFmtId="165" fontId="23" fillId="9" borderId="21" xfId="5" applyNumberFormat="1" applyFont="1" applyFill="1" applyBorder="1" applyAlignment="1">
      <alignment horizontal="center" vertical="center" wrapText="1"/>
    </xf>
    <xf numFmtId="165" fontId="23" fillId="5" borderId="26" xfId="0" applyNumberFormat="1" applyFont="1" applyFill="1" applyBorder="1" applyAlignment="1">
      <alignment horizontal="center" vertical="center"/>
    </xf>
    <xf numFmtId="4" fontId="22" fillId="2" borderId="4" xfId="0" applyNumberFormat="1" applyFont="1" applyFill="1" applyBorder="1" applyAlignment="1">
      <alignment horizontal="center" vertical="center"/>
    </xf>
    <xf numFmtId="4" fontId="22" fillId="2" borderId="21" xfId="0" applyNumberFormat="1" applyFont="1" applyFill="1" applyBorder="1" applyAlignment="1">
      <alignment horizontal="center" vertical="center"/>
    </xf>
    <xf numFmtId="0" fontId="27" fillId="2" borderId="24" xfId="0" applyFont="1" applyFill="1" applyBorder="1" applyAlignment="1">
      <alignment horizontal="center" vertical="center" wrapText="1"/>
    </xf>
    <xf numFmtId="0" fontId="36" fillId="0" borderId="5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4" xfId="0" applyBorder="1" applyAlignment="1">
      <alignment horizontal="left" vertical="top" wrapText="1"/>
    </xf>
    <xf numFmtId="0" fontId="27" fillId="2" borderId="37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left" vertical="center"/>
    </xf>
    <xf numFmtId="0" fontId="27" fillId="0" borderId="11" xfId="0" applyFont="1" applyBorder="1" applyAlignment="1">
      <alignment horizontal="center" vertical="center"/>
    </xf>
    <xf numFmtId="1" fontId="29" fillId="0" borderId="11" xfId="0" applyNumberFormat="1" applyFont="1" applyBorder="1" applyAlignment="1">
      <alignment horizontal="center" vertical="center" shrinkToFit="1"/>
    </xf>
    <xf numFmtId="165" fontId="27" fillId="0" borderId="11" xfId="0" applyNumberFormat="1" applyFont="1" applyBorder="1" applyAlignment="1">
      <alignment horizontal="center" vertical="center"/>
    </xf>
    <xf numFmtId="165" fontId="27" fillId="0" borderId="11" xfId="7" applyNumberFormat="1" applyFont="1" applyBorder="1" applyAlignment="1">
      <alignment horizontal="center" vertical="center"/>
    </xf>
    <xf numFmtId="165" fontId="27" fillId="0" borderId="26" xfId="7" applyNumberFormat="1" applyFont="1" applyBorder="1" applyAlignment="1">
      <alignment horizontal="center" vertical="center"/>
    </xf>
    <xf numFmtId="165" fontId="28" fillId="5" borderId="4" xfId="0" applyNumberFormat="1" applyFont="1" applyFill="1" applyBorder="1" applyAlignment="1">
      <alignment horizontal="center" vertical="center"/>
    </xf>
    <xf numFmtId="165" fontId="28" fillId="5" borderId="21" xfId="0" applyNumberFormat="1" applyFont="1" applyFill="1" applyBorder="1" applyAlignment="1">
      <alignment horizontal="center" vertical="center"/>
    </xf>
    <xf numFmtId="165" fontId="29" fillId="0" borderId="4" xfId="12" applyNumberFormat="1" applyFont="1" applyBorder="1" applyAlignment="1">
      <alignment horizontal="center" vertical="center" wrapText="1"/>
    </xf>
    <xf numFmtId="165" fontId="29" fillId="0" borderId="21" xfId="12" applyNumberFormat="1" applyFont="1" applyBorder="1" applyAlignment="1">
      <alignment horizontal="center" vertical="center" wrapText="1"/>
    </xf>
    <xf numFmtId="165" fontId="28" fillId="5" borderId="15" xfId="7" applyNumberFormat="1" applyFont="1" applyFill="1" applyBorder="1" applyAlignment="1">
      <alignment horizontal="center" vertical="center"/>
    </xf>
    <xf numFmtId="165" fontId="28" fillId="5" borderId="26" xfId="7" applyNumberFormat="1" applyFont="1" applyFill="1" applyBorder="1" applyAlignment="1">
      <alignment horizontal="center" vertical="center"/>
    </xf>
    <xf numFmtId="0" fontId="35" fillId="5" borderId="22" xfId="0" applyFont="1" applyFill="1" applyBorder="1" applyAlignment="1">
      <alignment horizontal="center" vertical="center"/>
    </xf>
    <xf numFmtId="165" fontId="28" fillId="7" borderId="15" xfId="12" applyNumberFormat="1" applyFont="1" applyFill="1" applyBorder="1" applyAlignment="1">
      <alignment horizontal="center" vertical="center" wrapText="1"/>
    </xf>
    <xf numFmtId="0" fontId="33" fillId="2" borderId="0" xfId="12" applyFill="1" applyBorder="1" applyAlignment="1">
      <alignment horizontal="center" vertical="center"/>
    </xf>
    <xf numFmtId="0" fontId="29" fillId="2" borderId="11" xfId="0" applyFont="1" applyFill="1" applyBorder="1" applyAlignment="1">
      <alignment horizontal="center" vertical="center"/>
    </xf>
    <xf numFmtId="0" fontId="27" fillId="2" borderId="4" xfId="0" applyFont="1" applyFill="1" applyBorder="1" applyAlignment="1">
      <alignment horizontal="center" vertical="center"/>
    </xf>
    <xf numFmtId="165" fontId="27" fillId="2" borderId="4" xfId="7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1" fontId="29" fillId="2" borderId="4" xfId="0" applyNumberFormat="1" applyFont="1" applyFill="1" applyBorder="1" applyAlignment="1">
      <alignment horizontal="center" vertical="center" shrinkToFit="1"/>
    </xf>
    <xf numFmtId="0" fontId="0" fillId="0" borderId="5" xfId="0" applyFont="1" applyBorder="1" applyAlignment="1">
      <alignment horizontal="center" vertical="center"/>
    </xf>
    <xf numFmtId="0" fontId="27" fillId="2" borderId="5" xfId="0" applyFont="1" applyFill="1" applyBorder="1" applyAlignment="1">
      <alignment horizontal="center" vertical="center"/>
    </xf>
    <xf numFmtId="1" fontId="29" fillId="2" borderId="5" xfId="0" applyNumberFormat="1" applyFont="1" applyFill="1" applyBorder="1" applyAlignment="1">
      <alignment horizontal="center" vertical="center" shrinkToFit="1"/>
    </xf>
    <xf numFmtId="165" fontId="27" fillId="2" borderId="5" xfId="7" applyNumberFormat="1" applyFont="1" applyFill="1" applyBorder="1" applyAlignment="1">
      <alignment horizontal="center" vertical="center"/>
    </xf>
    <xf numFmtId="0" fontId="27" fillId="2" borderId="22" xfId="0" applyFont="1" applyFill="1" applyBorder="1" applyAlignment="1">
      <alignment horizontal="center" vertical="center"/>
    </xf>
    <xf numFmtId="165" fontId="27" fillId="2" borderId="21" xfId="7" applyNumberFormat="1" applyFont="1" applyFill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165" fontId="27" fillId="2" borderId="25" xfId="7" applyNumberFormat="1" applyFont="1" applyFill="1" applyBorder="1" applyAlignment="1">
      <alignment horizontal="center" vertical="center"/>
    </xf>
    <xf numFmtId="0" fontId="33" fillId="2" borderId="43" xfId="12" applyFill="1" applyBorder="1" applyAlignment="1">
      <alignment horizontal="center" vertical="center"/>
    </xf>
    <xf numFmtId="165" fontId="23" fillId="0" borderId="4" xfId="2" applyNumberFormat="1" applyFont="1" applyFill="1" applyBorder="1" applyAlignment="1">
      <alignment horizontal="center" vertical="center"/>
    </xf>
    <xf numFmtId="1" fontId="27" fillId="0" borderId="24" xfId="12" applyNumberFormat="1" applyFont="1" applyBorder="1" applyAlignment="1">
      <alignment horizontal="center" vertical="center" shrinkToFit="1"/>
    </xf>
    <xf numFmtId="0" fontId="27" fillId="0" borderId="5" xfId="12" applyFont="1" applyBorder="1" applyAlignment="1">
      <alignment horizontal="center" vertical="center" wrapText="1"/>
    </xf>
    <xf numFmtId="1" fontId="27" fillId="0" borderId="5" xfId="12" applyNumberFormat="1" applyFont="1" applyBorder="1" applyAlignment="1">
      <alignment horizontal="center" vertical="center" shrinkToFit="1"/>
    </xf>
    <xf numFmtId="165" fontId="27" fillId="0" borderId="5" xfId="12" applyNumberFormat="1" applyFont="1" applyBorder="1" applyAlignment="1">
      <alignment horizontal="center" vertical="center" wrapText="1"/>
    </xf>
    <xf numFmtId="165" fontId="27" fillId="0" borderId="25" xfId="12" applyNumberFormat="1" applyFont="1" applyBorder="1" applyAlignment="1">
      <alignment horizontal="center" vertical="center" wrapText="1"/>
    </xf>
    <xf numFmtId="165" fontId="28" fillId="7" borderId="10" xfId="12" applyNumberFormat="1" applyFont="1" applyFill="1" applyBorder="1" applyAlignment="1">
      <alignment horizontal="center" vertical="center" wrapText="1"/>
    </xf>
    <xf numFmtId="0" fontId="35" fillId="5" borderId="4" xfId="0" applyFont="1" applyFill="1" applyBorder="1" applyAlignment="1">
      <alignment horizontal="center" vertical="center" wrapText="1"/>
    </xf>
    <xf numFmtId="0" fontId="35" fillId="5" borderId="0" xfId="0" applyFont="1" applyFill="1" applyBorder="1" applyAlignment="1">
      <alignment horizontal="center" vertical="center" wrapText="1"/>
    </xf>
    <xf numFmtId="0" fontId="27" fillId="2" borderId="5" xfId="15" applyFont="1" applyFill="1" applyBorder="1" applyAlignment="1">
      <alignment horizontal="left" vertical="center" wrapText="1"/>
    </xf>
    <xf numFmtId="0" fontId="29" fillId="0" borderId="4" xfId="15" applyFont="1" applyBorder="1" applyAlignment="1">
      <alignment horizontal="left" vertical="center" wrapText="1"/>
    </xf>
    <xf numFmtId="0" fontId="23" fillId="4" borderId="4" xfId="5" applyFont="1" applyFill="1" applyBorder="1" applyAlignment="1">
      <alignment vertical="center"/>
    </xf>
    <xf numFmtId="0" fontId="23" fillId="4" borderId="21" xfId="5" applyFont="1" applyFill="1" applyBorder="1" applyAlignment="1">
      <alignment vertical="center"/>
    </xf>
    <xf numFmtId="0" fontId="23" fillId="2" borderId="4" xfId="5" applyFont="1" applyFill="1" applyBorder="1" applyAlignment="1">
      <alignment vertical="center"/>
    </xf>
    <xf numFmtId="0" fontId="23" fillId="2" borderId="21" xfId="5" applyFont="1" applyFill="1" applyBorder="1" applyAlignment="1">
      <alignment vertical="center"/>
    </xf>
    <xf numFmtId="0" fontId="23" fillId="4" borderId="4" xfId="5" applyFont="1" applyFill="1" applyBorder="1" applyAlignment="1">
      <alignment vertical="center" wrapText="1"/>
    </xf>
    <xf numFmtId="0" fontId="23" fillId="4" borderId="21" xfId="5" applyFont="1" applyFill="1" applyBorder="1" applyAlignment="1">
      <alignment vertical="center" wrapText="1"/>
    </xf>
    <xf numFmtId="0" fontId="23" fillId="8" borderId="4" xfId="5" applyFont="1" applyFill="1" applyBorder="1" applyAlignment="1">
      <alignment vertical="center"/>
    </xf>
    <xf numFmtId="0" fontId="23" fillId="8" borderId="21" xfId="5" applyFont="1" applyFill="1" applyBorder="1" applyAlignment="1">
      <alignment vertical="center"/>
    </xf>
    <xf numFmtId="0" fontId="23" fillId="0" borderId="21" xfId="0" applyFont="1" applyBorder="1" applyAlignment="1">
      <alignment vertical="center"/>
    </xf>
    <xf numFmtId="0" fontId="29" fillId="0" borderId="4" xfId="0" applyFont="1" applyBorder="1" applyAlignment="1">
      <alignment horizontal="center" vertical="center"/>
    </xf>
    <xf numFmtId="165" fontId="33" fillId="0" borderId="0" xfId="12" applyNumberFormat="1" applyAlignment="1">
      <alignment horizontal="left" vertical="top"/>
    </xf>
    <xf numFmtId="0" fontId="22" fillId="0" borderId="4" xfId="0" applyFont="1" applyBorder="1" applyAlignment="1">
      <alignment horizontal="left" vertical="center" wrapText="1"/>
    </xf>
    <xf numFmtId="0" fontId="23" fillId="4" borderId="22" xfId="5" applyFont="1" applyFill="1" applyBorder="1" applyAlignment="1">
      <alignment horizontal="center" vertical="center" wrapText="1"/>
    </xf>
    <xf numFmtId="0" fontId="22" fillId="2" borderId="4" xfId="5" applyFont="1" applyFill="1" applyBorder="1" applyAlignment="1">
      <alignment horizontal="left" vertical="center" wrapText="1"/>
    </xf>
    <xf numFmtId="0" fontId="23" fillId="4" borderId="4" xfId="5" applyFont="1" applyFill="1" applyBorder="1" applyAlignment="1">
      <alignment horizontal="center" vertical="center"/>
    </xf>
    <xf numFmtId="0" fontId="23" fillId="0" borderId="22" xfId="5" applyFont="1" applyBorder="1" applyAlignment="1">
      <alignment horizontal="center" vertical="center" wrapText="1"/>
    </xf>
    <xf numFmtId="0" fontId="23" fillId="5" borderId="22" xfId="5" applyFont="1" applyFill="1" applyBorder="1" applyAlignment="1">
      <alignment horizontal="center" vertical="center" wrapText="1"/>
    </xf>
    <xf numFmtId="0" fontId="23" fillId="5" borderId="4" xfId="5" applyFont="1" applyFill="1" applyBorder="1" applyAlignment="1">
      <alignment horizontal="center" vertical="center" wrapText="1"/>
    </xf>
    <xf numFmtId="0" fontId="22" fillId="0" borderId="4" xfId="5" applyFont="1" applyBorder="1" applyAlignment="1">
      <alignment horizontal="left" vertical="center" wrapText="1"/>
    </xf>
    <xf numFmtId="0" fontId="23" fillId="2" borderId="4" xfId="5" applyFont="1" applyFill="1" applyBorder="1" applyAlignment="1">
      <alignment horizontal="center" vertical="center" wrapText="1"/>
    </xf>
    <xf numFmtId="0" fontId="32" fillId="4" borderId="4" xfId="0" applyFont="1" applyFill="1" applyBorder="1" applyAlignment="1">
      <alignment horizontal="left" vertical="center" wrapText="1"/>
    </xf>
    <xf numFmtId="0" fontId="22" fillId="4" borderId="4" xfId="0" applyFont="1" applyFill="1" applyBorder="1" applyAlignment="1">
      <alignment horizontal="left" vertical="center" wrapText="1"/>
    </xf>
    <xf numFmtId="0" fontId="23" fillId="2" borderId="22" xfId="5" applyFont="1" applyFill="1" applyBorder="1" applyAlignment="1">
      <alignment horizontal="center" vertical="center" wrapText="1"/>
    </xf>
    <xf numFmtId="0" fontId="23" fillId="4" borderId="21" xfId="5" applyFont="1" applyFill="1" applyBorder="1" applyAlignment="1">
      <alignment horizontal="center" vertical="center"/>
    </xf>
    <xf numFmtId="0" fontId="23" fillId="4" borderId="1" xfId="5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33" fillId="2" borderId="44" xfId="12" applyFill="1" applyBorder="1" applyAlignment="1">
      <alignment horizontal="center" vertical="center"/>
    </xf>
    <xf numFmtId="0" fontId="23" fillId="10" borderId="4" xfId="5" applyFont="1" applyFill="1" applyBorder="1" applyAlignment="1">
      <alignment horizontal="center" vertical="center" wrapText="1"/>
    </xf>
    <xf numFmtId="165" fontId="23" fillId="2" borderId="4" xfId="0" quotePrefix="1" applyNumberFormat="1" applyFont="1" applyFill="1" applyBorder="1" applyAlignment="1">
      <alignment horizontal="center" vertical="center"/>
    </xf>
    <xf numFmtId="165" fontId="23" fillId="2" borderId="4" xfId="5" applyNumberFormat="1" applyFont="1" applyFill="1" applyBorder="1" applyAlignment="1">
      <alignment horizontal="center" vertical="center"/>
    </xf>
    <xf numFmtId="0" fontId="23" fillId="10" borderId="21" xfId="5" applyFont="1" applyFill="1" applyBorder="1" applyAlignment="1">
      <alignment horizontal="center" vertical="center" wrapText="1"/>
    </xf>
    <xf numFmtId="165" fontId="23" fillId="2" borderId="21" xfId="0" quotePrefix="1" applyNumberFormat="1" applyFont="1" applyFill="1" applyBorder="1" applyAlignment="1">
      <alignment horizontal="center" vertical="center"/>
    </xf>
    <xf numFmtId="165" fontId="23" fillId="2" borderId="21" xfId="5" applyNumberFormat="1" applyFont="1" applyFill="1" applyBorder="1" applyAlignment="1">
      <alignment horizontal="center" vertical="center"/>
    </xf>
    <xf numFmtId="0" fontId="29" fillId="0" borderId="5" xfId="0" applyNumberFormat="1" applyFont="1" applyBorder="1" applyAlignment="1">
      <alignment horizontal="center" vertical="center" shrinkToFit="1"/>
    </xf>
    <xf numFmtId="0" fontId="27" fillId="0" borderId="32" xfId="0" applyFont="1" applyBorder="1" applyAlignment="1">
      <alignment horizontal="center" vertical="center"/>
    </xf>
    <xf numFmtId="0" fontId="37" fillId="0" borderId="49" xfId="0" applyFont="1" applyBorder="1" applyAlignment="1">
      <alignment horizontal="left" vertical="center" wrapText="1"/>
    </xf>
    <xf numFmtId="0" fontId="27" fillId="0" borderId="49" xfId="0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1" fontId="29" fillId="0" borderId="30" xfId="0" applyNumberFormat="1" applyFont="1" applyBorder="1" applyAlignment="1">
      <alignment horizontal="center" vertical="center" shrinkToFit="1"/>
    </xf>
    <xf numFmtId="165" fontId="27" fillId="0" borderId="49" xfId="7" applyNumberFormat="1" applyFont="1" applyBorder="1" applyAlignment="1">
      <alignment horizontal="center" vertical="center"/>
    </xf>
    <xf numFmtId="165" fontId="27" fillId="0" borderId="50" xfId="7" applyNumberFormat="1" applyFont="1" applyBorder="1" applyAlignment="1">
      <alignment horizontal="center" vertical="center"/>
    </xf>
    <xf numFmtId="0" fontId="28" fillId="5" borderId="6" xfId="0" applyFont="1" applyFill="1" applyBorder="1" applyAlignment="1">
      <alignment horizontal="center" vertical="center" wrapText="1"/>
    </xf>
    <xf numFmtId="0" fontId="28" fillId="5" borderId="31" xfId="0" applyFont="1" applyFill="1" applyBorder="1" applyAlignment="1">
      <alignment horizontal="center" vertical="center" wrapText="1"/>
    </xf>
    <xf numFmtId="0" fontId="28" fillId="5" borderId="8" xfId="0" applyFont="1" applyFill="1" applyBorder="1" applyAlignment="1">
      <alignment horizontal="center" vertical="center" wrapText="1"/>
    </xf>
    <xf numFmtId="0" fontId="27" fillId="0" borderId="51" xfId="0" applyFont="1" applyBorder="1" applyAlignment="1">
      <alignment horizontal="center" vertical="center"/>
    </xf>
    <xf numFmtId="0" fontId="37" fillId="0" borderId="30" xfId="0" applyFont="1" applyBorder="1" applyAlignment="1">
      <alignment horizontal="left" vertical="center" wrapText="1"/>
    </xf>
    <xf numFmtId="0" fontId="29" fillId="0" borderId="30" xfId="0" applyNumberFormat="1" applyFont="1" applyBorder="1" applyAlignment="1">
      <alignment horizontal="center" vertical="center" shrinkToFit="1"/>
    </xf>
    <xf numFmtId="165" fontId="27" fillId="0" borderId="30" xfId="7" applyNumberFormat="1" applyFont="1" applyBorder="1" applyAlignment="1">
      <alignment horizontal="center" vertical="center"/>
    </xf>
    <xf numFmtId="165" fontId="27" fillId="0" borderId="52" xfId="7" applyNumberFormat="1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37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justify"/>
    </xf>
    <xf numFmtId="0" fontId="7" fillId="0" borderId="0" xfId="0" applyFont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13" fillId="0" borderId="0" xfId="0" applyFont="1" applyAlignment="1">
      <alignment horizontal="justify" wrapText="1"/>
    </xf>
    <xf numFmtId="0" fontId="17" fillId="0" borderId="15" xfId="0" applyFont="1" applyBorder="1" applyAlignment="1">
      <alignment horizontal="center" vertical="center" wrapText="1"/>
    </xf>
    <xf numFmtId="0" fontId="28" fillId="5" borderId="9" xfId="12" applyFont="1" applyFill="1" applyBorder="1" applyAlignment="1">
      <alignment horizontal="center" vertical="center" wrapText="1"/>
    </xf>
    <xf numFmtId="0" fontId="28" fillId="5" borderId="7" xfId="12" applyFont="1" applyFill="1" applyBorder="1" applyAlignment="1">
      <alignment horizontal="center" vertical="center" wrapText="1"/>
    </xf>
    <xf numFmtId="0" fontId="28" fillId="5" borderId="10" xfId="12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35" fillId="7" borderId="27" xfId="15" applyFont="1" applyFill="1" applyBorder="1" applyAlignment="1">
      <alignment horizontal="center" vertical="center"/>
    </xf>
    <xf numFmtId="0" fontId="35" fillId="7" borderId="28" xfId="15" applyFont="1" applyFill="1" applyBorder="1" applyAlignment="1">
      <alignment horizontal="center" vertical="center"/>
    </xf>
    <xf numFmtId="0" fontId="35" fillId="7" borderId="29" xfId="15" applyFont="1" applyFill="1" applyBorder="1" applyAlignment="1">
      <alignment horizontal="center" vertical="center"/>
    </xf>
    <xf numFmtId="0" fontId="28" fillId="7" borderId="27" xfId="0" applyFont="1" applyFill="1" applyBorder="1" applyAlignment="1">
      <alignment horizontal="center" vertical="center"/>
    </xf>
    <xf numFmtId="0" fontId="28" fillId="7" borderId="28" xfId="0" applyFont="1" applyFill="1" applyBorder="1" applyAlignment="1">
      <alignment horizontal="center" vertical="center"/>
    </xf>
    <xf numFmtId="0" fontId="28" fillId="7" borderId="29" xfId="0" applyFont="1" applyFill="1" applyBorder="1" applyAlignment="1">
      <alignment horizontal="center" vertical="center"/>
    </xf>
    <xf numFmtId="0" fontId="2" fillId="5" borderId="20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28" fillId="5" borderId="6" xfId="12" applyFont="1" applyFill="1" applyBorder="1" applyAlignment="1">
      <alignment horizontal="center" vertical="center" wrapText="1"/>
    </xf>
    <xf numFmtId="0" fontId="28" fillId="5" borderId="31" xfId="12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justify" vertical="center"/>
    </xf>
    <xf numFmtId="0" fontId="23" fillId="6" borderId="36" xfId="0" applyFont="1" applyFill="1" applyBorder="1" applyAlignment="1">
      <alignment horizontal="center" vertical="center"/>
    </xf>
    <xf numFmtId="0" fontId="23" fillId="6" borderId="33" xfId="0" applyFont="1" applyFill="1" applyBorder="1" applyAlignment="1">
      <alignment horizontal="center" vertical="center"/>
    </xf>
    <xf numFmtId="0" fontId="23" fillId="6" borderId="35" xfId="0" applyFont="1" applyFill="1" applyBorder="1" applyAlignment="1">
      <alignment horizontal="center" vertical="center"/>
    </xf>
    <xf numFmtId="0" fontId="23" fillId="2" borderId="4" xfId="3" applyFont="1" applyFill="1" applyBorder="1" applyAlignment="1">
      <alignment horizontal="center" vertical="center" wrapText="1"/>
    </xf>
    <xf numFmtId="0" fontId="23" fillId="2" borderId="21" xfId="3" applyFont="1" applyFill="1" applyBorder="1" applyAlignment="1">
      <alignment horizontal="center" vertical="center" wrapText="1"/>
    </xf>
    <xf numFmtId="0" fontId="22" fillId="2" borderId="4" xfId="3" applyFont="1" applyFill="1" applyBorder="1" applyAlignment="1">
      <alignment horizontal="center" vertical="center" wrapText="1"/>
    </xf>
    <xf numFmtId="0" fontId="22" fillId="2" borderId="21" xfId="3" applyFont="1" applyFill="1" applyBorder="1" applyAlignment="1">
      <alignment horizontal="center" vertical="center" wrapText="1"/>
    </xf>
    <xf numFmtId="0" fontId="22" fillId="2" borderId="4" xfId="3" applyFont="1" applyFill="1" applyBorder="1" applyAlignment="1">
      <alignment horizontal="center" vertical="top" wrapText="1"/>
    </xf>
    <xf numFmtId="0" fontId="22" fillId="2" borderId="21" xfId="3" applyFont="1" applyFill="1" applyBorder="1" applyAlignment="1">
      <alignment horizontal="center" vertical="top" wrapText="1"/>
    </xf>
    <xf numFmtId="0" fontId="23" fillId="2" borderId="22" xfId="3" applyFont="1" applyFill="1" applyBorder="1" applyAlignment="1">
      <alignment horizontal="center" vertical="center"/>
    </xf>
    <xf numFmtId="0" fontId="23" fillId="2" borderId="4" xfId="3" applyFont="1" applyFill="1" applyBorder="1" applyAlignment="1">
      <alignment horizontal="center" vertical="center"/>
    </xf>
    <xf numFmtId="0" fontId="23" fillId="2" borderId="21" xfId="3" applyFont="1" applyFill="1" applyBorder="1" applyAlignment="1">
      <alignment horizontal="center" vertical="center"/>
    </xf>
    <xf numFmtId="0" fontId="23" fillId="2" borderId="22" xfId="5" applyFont="1" applyFill="1" applyBorder="1" applyAlignment="1">
      <alignment horizontal="center" vertical="center" wrapText="1"/>
    </xf>
    <xf numFmtId="0" fontId="23" fillId="2" borderId="4" xfId="5" applyFont="1" applyFill="1" applyBorder="1" applyAlignment="1">
      <alignment horizontal="center" vertical="center" wrapText="1"/>
    </xf>
    <xf numFmtId="0" fontId="23" fillId="0" borderId="4" xfId="5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23" fillId="2" borderId="4" xfId="5" applyFont="1" applyFill="1" applyBorder="1" applyAlignment="1">
      <alignment horizontal="left" vertical="center" wrapText="1"/>
    </xf>
    <xf numFmtId="0" fontId="22" fillId="2" borderId="4" xfId="0" applyFont="1" applyFill="1" applyBorder="1" applyAlignment="1">
      <alignment horizontal="left" vertical="center" wrapText="1"/>
    </xf>
    <xf numFmtId="0" fontId="23" fillId="5" borderId="22" xfId="5" applyFont="1" applyFill="1" applyBorder="1" applyAlignment="1">
      <alignment horizontal="center" vertical="center" wrapText="1"/>
    </xf>
    <xf numFmtId="0" fontId="23" fillId="5" borderId="4" xfId="5" applyFont="1" applyFill="1" applyBorder="1" applyAlignment="1">
      <alignment horizontal="center" vertical="center" wrapText="1"/>
    </xf>
    <xf numFmtId="0" fontId="23" fillId="4" borderId="4" xfId="5" applyFont="1" applyFill="1" applyBorder="1" applyAlignment="1">
      <alignment horizontal="left" vertical="center" wrapText="1"/>
    </xf>
    <xf numFmtId="0" fontId="22" fillId="4" borderId="4" xfId="0" applyFont="1" applyFill="1" applyBorder="1" applyAlignment="1">
      <alignment horizontal="left" vertical="center" wrapText="1"/>
    </xf>
    <xf numFmtId="0" fontId="26" fillId="2" borderId="22" xfId="5" applyFont="1" applyFill="1" applyBorder="1" applyAlignment="1">
      <alignment horizontal="center" vertical="center" wrapText="1"/>
    </xf>
    <xf numFmtId="0" fontId="26" fillId="2" borderId="4" xfId="5" applyFont="1" applyFill="1" applyBorder="1" applyAlignment="1">
      <alignment horizontal="center" vertical="center" wrapText="1"/>
    </xf>
    <xf numFmtId="0" fontId="26" fillId="2" borderId="21" xfId="5" applyFont="1" applyFill="1" applyBorder="1" applyAlignment="1">
      <alignment horizontal="center" vertical="center" wrapText="1"/>
    </xf>
    <xf numFmtId="0" fontId="23" fillId="4" borderId="22" xfId="5" applyFont="1" applyFill="1" applyBorder="1" applyAlignment="1">
      <alignment horizontal="center" vertical="center" wrapText="1"/>
    </xf>
    <xf numFmtId="0" fontId="23" fillId="4" borderId="4" xfId="5" applyFont="1" applyFill="1" applyBorder="1" applyAlignment="1">
      <alignment horizontal="center" vertical="center" wrapText="1"/>
    </xf>
    <xf numFmtId="0" fontId="23" fillId="6" borderId="22" xfId="5" applyFont="1" applyFill="1" applyBorder="1" applyAlignment="1">
      <alignment horizontal="center" vertical="center" wrapText="1"/>
    </xf>
    <xf numFmtId="0" fontId="23" fillId="6" borderId="4" xfId="5" applyFont="1" applyFill="1" applyBorder="1" applyAlignment="1">
      <alignment horizontal="center" vertical="center" wrapText="1"/>
    </xf>
    <xf numFmtId="0" fontId="23" fillId="0" borderId="4" xfId="5" applyFont="1" applyBorder="1" applyAlignment="1">
      <alignment horizontal="center" vertical="center"/>
    </xf>
    <xf numFmtId="0" fontId="23" fillId="4" borderId="22" xfId="5" applyFont="1" applyFill="1" applyBorder="1" applyAlignment="1">
      <alignment horizontal="center" vertical="center"/>
    </xf>
    <xf numFmtId="0" fontId="23" fillId="4" borderId="4" xfId="5" applyFont="1" applyFill="1" applyBorder="1" applyAlignment="1">
      <alignment horizontal="center" vertical="center"/>
    </xf>
    <xf numFmtId="0" fontId="23" fillId="2" borderId="22" xfId="5" applyFont="1" applyFill="1" applyBorder="1" applyAlignment="1">
      <alignment horizontal="center" vertical="center"/>
    </xf>
    <xf numFmtId="0" fontId="23" fillId="2" borderId="4" xfId="5" applyFont="1" applyFill="1" applyBorder="1" applyAlignment="1">
      <alignment horizontal="center" vertical="center"/>
    </xf>
    <xf numFmtId="0" fontId="31" fillId="4" borderId="4" xfId="5" applyFont="1" applyFill="1" applyBorder="1" applyAlignment="1">
      <alignment horizontal="left" vertical="center" wrapText="1"/>
    </xf>
    <xf numFmtId="0" fontId="32" fillId="4" borderId="4" xfId="0" applyFont="1" applyFill="1" applyBorder="1" applyAlignment="1">
      <alignment horizontal="left" vertical="center" wrapText="1"/>
    </xf>
    <xf numFmtId="0" fontId="23" fillId="8" borderId="22" xfId="5" applyFont="1" applyFill="1" applyBorder="1" applyAlignment="1">
      <alignment horizontal="center" vertical="center"/>
    </xf>
    <xf numFmtId="0" fontId="23" fillId="8" borderId="4" xfId="5" applyFont="1" applyFill="1" applyBorder="1" applyAlignment="1">
      <alignment horizontal="center" vertical="center"/>
    </xf>
    <xf numFmtId="0" fontId="23" fillId="2" borderId="21" xfId="5" applyFont="1" applyFill="1" applyBorder="1" applyAlignment="1">
      <alignment horizontal="center" vertical="center" wrapText="1"/>
    </xf>
    <xf numFmtId="0" fontId="23" fillId="4" borderId="22" xfId="3" applyFont="1" applyFill="1" applyBorder="1" applyAlignment="1">
      <alignment horizontal="center" vertical="center" wrapText="1"/>
    </xf>
    <xf numFmtId="0" fontId="23" fillId="4" borderId="4" xfId="3" applyFont="1" applyFill="1" applyBorder="1" applyAlignment="1">
      <alignment horizontal="center" vertical="center" wrapText="1"/>
    </xf>
    <xf numFmtId="0" fontId="23" fillId="4" borderId="21" xfId="3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left" vertical="center" wrapText="1"/>
    </xf>
    <xf numFmtId="0" fontId="22" fillId="2" borderId="1" xfId="4" applyFont="1" applyFill="1" applyBorder="1" applyAlignment="1">
      <alignment horizontal="center" vertical="center" wrapText="1"/>
    </xf>
    <xf numFmtId="0" fontId="22" fillId="2" borderId="2" xfId="4" applyFont="1" applyFill="1" applyBorder="1" applyAlignment="1">
      <alignment horizontal="center" vertical="center" wrapText="1"/>
    </xf>
    <xf numFmtId="0" fontId="22" fillId="2" borderId="38" xfId="4" applyFont="1" applyFill="1" applyBorder="1" applyAlignment="1">
      <alignment horizontal="center" vertical="center" wrapText="1"/>
    </xf>
    <xf numFmtId="4" fontId="31" fillId="0" borderId="1" xfId="0" applyNumberFormat="1" applyFont="1" applyBorder="1" applyAlignment="1">
      <alignment horizontal="center" vertical="center"/>
    </xf>
    <xf numFmtId="4" fontId="31" fillId="0" borderId="3" xfId="0" applyNumberFormat="1" applyFont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38" xfId="0" applyFont="1" applyFill="1" applyBorder="1" applyAlignment="1">
      <alignment horizontal="center" vertical="center"/>
    </xf>
    <xf numFmtId="4" fontId="31" fillId="0" borderId="38" xfId="0" applyNumberFormat="1" applyFont="1" applyBorder="1" applyAlignment="1">
      <alignment horizontal="center" vertical="center"/>
    </xf>
    <xf numFmtId="0" fontId="22" fillId="2" borderId="4" xfId="4" applyFont="1" applyFill="1" applyBorder="1" applyAlignment="1">
      <alignment horizontal="justify" vertical="center" wrapText="1"/>
    </xf>
    <xf numFmtId="0" fontId="23" fillId="5" borderId="37" xfId="5" applyFont="1" applyFill="1" applyBorder="1" applyAlignment="1">
      <alignment horizontal="center" vertical="center" wrapText="1"/>
    </xf>
    <xf numFmtId="0" fontId="23" fillId="5" borderId="11" xfId="5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3" fillId="0" borderId="22" xfId="5" applyFont="1" applyBorder="1" applyAlignment="1">
      <alignment horizontal="center" vertical="center" wrapText="1"/>
    </xf>
    <xf numFmtId="0" fontId="23" fillId="3" borderId="22" xfId="5" applyFont="1" applyFill="1" applyBorder="1" applyAlignment="1">
      <alignment horizontal="center" vertical="center" wrapText="1"/>
    </xf>
    <xf numFmtId="0" fontId="23" fillId="3" borderId="4" xfId="5" applyFont="1" applyFill="1" applyBorder="1" applyAlignment="1">
      <alignment horizontal="center" vertical="center" wrapText="1"/>
    </xf>
    <xf numFmtId="0" fontId="22" fillId="0" borderId="4" xfId="5" applyFont="1" applyBorder="1" applyAlignment="1">
      <alignment horizontal="left" vertical="center" wrapText="1"/>
    </xf>
    <xf numFmtId="0" fontId="23" fillId="0" borderId="4" xfId="5" applyFont="1" applyBorder="1" applyAlignment="1">
      <alignment horizontal="center" vertical="center" wrapText="1"/>
    </xf>
    <xf numFmtId="0" fontId="22" fillId="2" borderId="4" xfId="5" applyFont="1" applyFill="1" applyBorder="1" applyAlignment="1">
      <alignment horizontal="left" vertical="center" wrapText="1"/>
    </xf>
    <xf numFmtId="0" fontId="26" fillId="2" borderId="20" xfId="5" applyFont="1" applyFill="1" applyBorder="1" applyAlignment="1">
      <alignment horizontal="center" vertical="center" wrapText="1"/>
    </xf>
    <xf numFmtId="0" fontId="26" fillId="2" borderId="2" xfId="5" applyFont="1" applyFill="1" applyBorder="1" applyAlignment="1">
      <alignment horizontal="center" vertical="center" wrapText="1"/>
    </xf>
    <xf numFmtId="0" fontId="26" fillId="2" borderId="38" xfId="5" applyFont="1" applyFill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9" borderId="22" xfId="5" applyFont="1" applyFill="1" applyBorder="1" applyAlignment="1">
      <alignment horizontal="center" vertical="center" wrapText="1"/>
    </xf>
    <xf numFmtId="0" fontId="23" fillId="9" borderId="4" xfId="5" applyFont="1" applyFill="1" applyBorder="1" applyAlignment="1">
      <alignment horizontal="center" vertical="center" wrapText="1"/>
    </xf>
    <xf numFmtId="4" fontId="23" fillId="2" borderId="4" xfId="5" applyNumberFormat="1" applyFont="1" applyFill="1" applyBorder="1" applyAlignment="1">
      <alignment horizontal="center" vertical="center" wrapText="1"/>
    </xf>
    <xf numFmtId="4" fontId="23" fillId="2" borderId="21" xfId="5" applyNumberFormat="1" applyFont="1" applyFill="1" applyBorder="1" applyAlignment="1">
      <alignment horizontal="center" vertical="center" wrapText="1"/>
    </xf>
    <xf numFmtId="0" fontId="23" fillId="8" borderId="21" xfId="5" applyFont="1" applyFill="1" applyBorder="1" applyAlignment="1">
      <alignment horizontal="center" vertical="center"/>
    </xf>
    <xf numFmtId="0" fontId="23" fillId="4" borderId="21" xfId="5" applyFont="1" applyFill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2" fillId="2" borderId="4" xfId="4" applyFont="1" applyFill="1" applyBorder="1" applyAlignment="1">
      <alignment horizontal="center" vertical="center" wrapText="1"/>
    </xf>
    <xf numFmtId="0" fontId="22" fillId="2" borderId="21" xfId="4" applyFont="1" applyFill="1" applyBorder="1" applyAlignment="1">
      <alignment horizontal="center" vertical="center" wrapText="1"/>
    </xf>
    <xf numFmtId="4" fontId="31" fillId="0" borderId="4" xfId="0" applyNumberFormat="1" applyFont="1" applyBorder="1" applyAlignment="1">
      <alignment horizontal="center" vertical="center"/>
    </xf>
    <xf numFmtId="4" fontId="31" fillId="0" borderId="21" xfId="0" applyNumberFormat="1" applyFont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21" xfId="0" applyFont="1" applyFill="1" applyBorder="1" applyAlignment="1">
      <alignment horizontal="center" vertical="center"/>
    </xf>
    <xf numFmtId="0" fontId="22" fillId="2" borderId="1" xfId="3" applyFont="1" applyFill="1" applyBorder="1" applyAlignment="1">
      <alignment horizontal="center" vertical="center" wrapText="1"/>
    </xf>
    <xf numFmtId="0" fontId="22" fillId="2" borderId="2" xfId="3" applyFont="1" applyFill="1" applyBorder="1" applyAlignment="1">
      <alignment horizontal="center" vertical="center" wrapText="1"/>
    </xf>
    <xf numFmtId="0" fontId="22" fillId="2" borderId="38" xfId="3" applyFont="1" applyFill="1" applyBorder="1" applyAlignment="1">
      <alignment horizontal="center" vertical="center" wrapText="1"/>
    </xf>
    <xf numFmtId="0" fontId="23" fillId="2" borderId="1" xfId="3" applyFont="1" applyFill="1" applyBorder="1" applyAlignment="1">
      <alignment horizontal="center" vertical="center" wrapText="1"/>
    </xf>
    <xf numFmtId="0" fontId="23" fillId="2" borderId="2" xfId="3" applyFont="1" applyFill="1" applyBorder="1" applyAlignment="1">
      <alignment horizontal="center" vertical="center" wrapText="1"/>
    </xf>
    <xf numFmtId="0" fontId="23" fillId="2" borderId="38" xfId="3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right" vertical="center"/>
    </xf>
    <xf numFmtId="0" fontId="23" fillId="2" borderId="21" xfId="0" applyFont="1" applyFill="1" applyBorder="1" applyAlignment="1">
      <alignment horizontal="right" vertical="center"/>
    </xf>
    <xf numFmtId="0" fontId="23" fillId="6" borderId="45" xfId="0" applyFont="1" applyFill="1" applyBorder="1" applyAlignment="1">
      <alignment horizontal="center" vertical="center"/>
    </xf>
    <xf numFmtId="0" fontId="23" fillId="4" borderId="1" xfId="3" applyFont="1" applyFill="1" applyBorder="1" applyAlignment="1">
      <alignment horizontal="center" vertical="center" wrapText="1"/>
    </xf>
    <xf numFmtId="0" fontId="23" fillId="2" borderId="1" xfId="3" applyFont="1" applyFill="1" applyBorder="1" applyAlignment="1">
      <alignment horizontal="center" vertical="center"/>
    </xf>
    <xf numFmtId="4" fontId="31" fillId="0" borderId="2" xfId="0" applyNumberFormat="1" applyFont="1" applyBorder="1" applyAlignment="1">
      <alignment horizontal="center" vertical="center"/>
    </xf>
    <xf numFmtId="0" fontId="23" fillId="2" borderId="1" xfId="5" applyFont="1" applyFill="1" applyBorder="1" applyAlignment="1">
      <alignment horizontal="center" vertical="center" wrapText="1"/>
    </xf>
    <xf numFmtId="0" fontId="23" fillId="2" borderId="38" xfId="5" applyFont="1" applyFill="1" applyBorder="1" applyAlignment="1">
      <alignment horizontal="center" vertical="center" wrapText="1"/>
    </xf>
    <xf numFmtId="0" fontId="26" fillId="2" borderId="1" xfId="5" applyFont="1" applyFill="1" applyBorder="1" applyAlignment="1">
      <alignment horizontal="center" vertical="center" wrapText="1"/>
    </xf>
    <xf numFmtId="0" fontId="23" fillId="4" borderId="1" xfId="5" applyFont="1" applyFill="1" applyBorder="1" applyAlignment="1">
      <alignment horizontal="center" vertical="center"/>
    </xf>
    <xf numFmtId="0" fontId="23" fillId="4" borderId="1" xfId="5" applyFont="1" applyFill="1" applyBorder="1" applyAlignment="1">
      <alignment horizontal="center" vertical="center" wrapText="1"/>
    </xf>
    <xf numFmtId="0" fontId="23" fillId="4" borderId="21" xfId="5" applyFont="1" applyFill="1" applyBorder="1" applyAlignment="1">
      <alignment horizontal="center" vertical="center" wrapText="1"/>
    </xf>
    <xf numFmtId="0" fontId="23" fillId="2" borderId="1" xfId="5" applyFont="1" applyFill="1" applyBorder="1" applyAlignment="1">
      <alignment horizontal="center" vertical="center"/>
    </xf>
    <xf numFmtId="0" fontId="23" fillId="2" borderId="21" xfId="5" applyFont="1" applyFill="1" applyBorder="1" applyAlignment="1">
      <alignment horizontal="center" vertical="center"/>
    </xf>
    <xf numFmtId="0" fontId="22" fillId="0" borderId="1" xfId="5" applyFont="1" applyBorder="1" applyAlignment="1">
      <alignment horizontal="left" vertical="center" wrapText="1"/>
    </xf>
    <xf numFmtId="0" fontId="22" fillId="0" borderId="3" xfId="5" applyFont="1" applyBorder="1" applyAlignment="1">
      <alignment horizontal="left" vertical="center" wrapText="1"/>
    </xf>
    <xf numFmtId="0" fontId="23" fillId="2" borderId="1" xfId="0" applyFont="1" applyFill="1" applyBorder="1" applyAlignment="1">
      <alignment horizontal="right" vertical="center"/>
    </xf>
    <xf numFmtId="4" fontId="23" fillId="2" borderId="1" xfId="5" applyNumberFormat="1" applyFont="1" applyFill="1" applyBorder="1" applyAlignment="1">
      <alignment horizontal="center" vertical="center" wrapText="1"/>
    </xf>
    <xf numFmtId="4" fontId="23" fillId="2" borderId="38" xfId="5" applyNumberFormat="1" applyFont="1" applyFill="1" applyBorder="1" applyAlignment="1">
      <alignment horizontal="center" vertical="center" wrapText="1"/>
    </xf>
    <xf numFmtId="0" fontId="23" fillId="8" borderId="1" xfId="5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165" fontId="31" fillId="0" borderId="4" xfId="0" applyNumberFormat="1" applyFont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 wrapText="1"/>
    </xf>
    <xf numFmtId="0" fontId="22" fillId="0" borderId="40" xfId="0" applyFont="1" applyBorder="1" applyAlignment="1">
      <alignment horizontal="left" vertical="center" wrapText="1"/>
    </xf>
    <xf numFmtId="0" fontId="22" fillId="0" borderId="18" xfId="0" applyFont="1" applyBorder="1" applyAlignment="1">
      <alignment horizontal="left" vertical="center" wrapText="1"/>
    </xf>
    <xf numFmtId="0" fontId="22" fillId="0" borderId="43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44" xfId="0" applyFont="1" applyBorder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  <xf numFmtId="0" fontId="22" fillId="0" borderId="42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42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31" fillId="7" borderId="19" xfId="0" applyFont="1" applyFill="1" applyBorder="1" applyAlignment="1">
      <alignment horizontal="center"/>
    </xf>
    <xf numFmtId="0" fontId="31" fillId="7" borderId="40" xfId="0" applyFont="1" applyFill="1" applyBorder="1" applyAlignment="1">
      <alignment horizontal="center"/>
    </xf>
    <xf numFmtId="0" fontId="31" fillId="7" borderId="18" xfId="0" applyFont="1" applyFill="1" applyBorder="1" applyAlignment="1">
      <alignment horizontal="center"/>
    </xf>
    <xf numFmtId="0" fontId="2" fillId="5" borderId="37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/>
    </xf>
    <xf numFmtId="0" fontId="2" fillId="5" borderId="39" xfId="0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19" xfId="0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44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8" fillId="5" borderId="9" xfId="0" applyFont="1" applyFill="1" applyBorder="1" applyAlignment="1">
      <alignment horizontal="center" vertical="center" wrapText="1"/>
    </xf>
    <xf numFmtId="0" fontId="28" fillId="5" borderId="7" xfId="0" applyFont="1" applyFill="1" applyBorder="1" applyAlignment="1">
      <alignment horizontal="center" vertical="center" wrapText="1"/>
    </xf>
    <xf numFmtId="0" fontId="28" fillId="5" borderId="10" xfId="0" applyFont="1" applyFill="1" applyBorder="1" applyAlignment="1">
      <alignment horizontal="center" vertical="center" wrapText="1"/>
    </xf>
    <xf numFmtId="0" fontId="28" fillId="7" borderId="6" xfId="0" applyFont="1" applyFill="1" applyBorder="1" applyAlignment="1">
      <alignment horizontal="center" vertical="center"/>
    </xf>
    <xf numFmtId="0" fontId="28" fillId="7" borderId="31" xfId="0" applyFont="1" applyFill="1" applyBorder="1" applyAlignment="1">
      <alignment horizontal="center" vertical="center"/>
    </xf>
    <xf numFmtId="0" fontId="28" fillId="7" borderId="8" xfId="0" applyFont="1" applyFill="1" applyBorder="1" applyAlignment="1">
      <alignment horizontal="center" vertical="center"/>
    </xf>
    <xf numFmtId="0" fontId="28" fillId="7" borderId="9" xfId="0" applyFont="1" applyFill="1" applyBorder="1" applyAlignment="1">
      <alignment horizontal="center" vertical="center" wrapText="1"/>
    </xf>
    <xf numFmtId="0" fontId="28" fillId="7" borderId="7" xfId="0" applyFont="1" applyFill="1" applyBorder="1" applyAlignment="1">
      <alignment horizontal="center" vertical="center" wrapText="1"/>
    </xf>
    <xf numFmtId="0" fontId="28" fillId="7" borderId="10" xfId="0" applyFont="1" applyFill="1" applyBorder="1" applyAlignment="1">
      <alignment horizontal="center" vertical="center" wrapText="1"/>
    </xf>
    <xf numFmtId="0" fontId="28" fillId="5" borderId="6" xfId="0" applyFont="1" applyFill="1" applyBorder="1" applyAlignment="1">
      <alignment horizontal="center" vertical="center"/>
    </xf>
    <xf numFmtId="0" fontId="28" fillId="5" borderId="31" xfId="0" applyFont="1" applyFill="1" applyBorder="1" applyAlignment="1">
      <alignment horizontal="center" vertical="center"/>
    </xf>
    <xf numFmtId="0" fontId="28" fillId="5" borderId="8" xfId="0" applyFont="1" applyFill="1" applyBorder="1" applyAlignment="1">
      <alignment horizontal="center" vertical="center"/>
    </xf>
    <xf numFmtId="0" fontId="27" fillId="2" borderId="43" xfId="0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center" vertical="center" wrapText="1"/>
    </xf>
    <xf numFmtId="0" fontId="27" fillId="2" borderId="44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7" fillId="2" borderId="9" xfId="0" applyFont="1" applyFill="1" applyBorder="1" applyAlignment="1">
      <alignment horizontal="center" vertical="center" wrapText="1"/>
    </xf>
    <xf numFmtId="0" fontId="27" fillId="2" borderId="7" xfId="0" applyFont="1" applyFill="1" applyBorder="1" applyAlignment="1">
      <alignment horizontal="center" vertical="center" wrapText="1"/>
    </xf>
    <xf numFmtId="0" fontId="27" fillId="2" borderId="10" xfId="0" applyFont="1" applyFill="1" applyBorder="1" applyAlignment="1">
      <alignment horizontal="center" vertical="center" wrapText="1"/>
    </xf>
    <xf numFmtId="0" fontId="28" fillId="5" borderId="9" xfId="0" applyFont="1" applyFill="1" applyBorder="1" applyAlignment="1">
      <alignment horizontal="center" vertical="center"/>
    </xf>
    <xf numFmtId="0" fontId="28" fillId="5" borderId="7" xfId="0" applyFont="1" applyFill="1" applyBorder="1" applyAlignment="1">
      <alignment horizontal="center" vertical="center"/>
    </xf>
    <xf numFmtId="0" fontId="28" fillId="5" borderId="10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8" fillId="7" borderId="19" xfId="0" applyFont="1" applyFill="1" applyBorder="1" applyAlignment="1">
      <alignment horizontal="center" vertical="center" wrapText="1"/>
    </xf>
    <xf numFmtId="0" fontId="28" fillId="7" borderId="40" xfId="0" applyFont="1" applyFill="1" applyBorder="1" applyAlignment="1">
      <alignment horizontal="center" vertical="center" wrapText="1"/>
    </xf>
    <xf numFmtId="0" fontId="28" fillId="7" borderId="18" xfId="0" applyFont="1" applyFill="1" applyBorder="1" applyAlignment="1">
      <alignment horizontal="center" vertical="center" wrapText="1"/>
    </xf>
    <xf numFmtId="0" fontId="28" fillId="7" borderId="36" xfId="0" applyFont="1" applyFill="1" applyBorder="1" applyAlignment="1">
      <alignment horizontal="center" vertical="center" wrapText="1"/>
    </xf>
    <xf numFmtId="0" fontId="28" fillId="7" borderId="33" xfId="0" applyFont="1" applyFill="1" applyBorder="1" applyAlignment="1">
      <alignment horizontal="center" vertical="center" wrapText="1"/>
    </xf>
    <xf numFmtId="0" fontId="28" fillId="7" borderId="35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16" xfId="0" applyBorder="1" applyAlignment="1">
      <alignment horizontal="center"/>
    </xf>
    <xf numFmtId="0" fontId="28" fillId="5" borderId="48" xfId="0" applyFont="1" applyFill="1" applyBorder="1" applyAlignment="1">
      <alignment horizontal="center" vertical="center" wrapText="1"/>
    </xf>
  </cellXfs>
  <cellStyles count="16">
    <cellStyle name="Estilo 1" xfId="8"/>
    <cellStyle name="Hiperlink" xfId="6" builtinId="8"/>
    <cellStyle name="Moeda" xfId="1" builtinId="4"/>
    <cellStyle name="Moeda 2" xfId="11"/>
    <cellStyle name="Moeda 2 2" xfId="14"/>
    <cellStyle name="Normal" xfId="0" builtinId="0"/>
    <cellStyle name="Normal 2" xfId="5"/>
    <cellStyle name="Normal 3" xfId="9"/>
    <cellStyle name="Normal 4" xfId="3"/>
    <cellStyle name="Normal 5" xfId="4"/>
    <cellStyle name="Normal 6" xfId="15"/>
    <cellStyle name="Normal 7" xfId="12"/>
    <cellStyle name="Porcentagem" xfId="2" builtinId="5"/>
    <cellStyle name="Vírgula" xfId="7" builtinId="3"/>
    <cellStyle name="Vírgula 2" xfId="10"/>
    <cellStyle name="Vírgula 2 2" xfId="13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1" name="Tabela2" displayName="Tabela2" ref="A3:B22" totalsRowShown="0" headerRowDxfId="5" headerRowBorderDxfId="4" tableBorderDxfId="3" totalsRowBorderDxfId="2">
  <autoFilter ref="A3:B22"/>
  <tableColumns count="2">
    <tableColumn id="1" name="Colunas1" dataDxfId="1"/>
    <tableColumn id="2" name="Colunas2" dataDxfId="0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opLeftCell="B1" zoomScale="145" zoomScaleNormal="145" workbookViewId="0">
      <selection activeCell="E8" sqref="E8"/>
    </sheetView>
  </sheetViews>
  <sheetFormatPr defaultRowHeight="15" x14ac:dyDescent="0.25"/>
  <cols>
    <col min="1" max="1" width="33.85546875" customWidth="1"/>
    <col min="2" max="2" width="15.42578125" customWidth="1"/>
    <col min="3" max="3" width="19.28515625" customWidth="1"/>
    <col min="5" max="5" width="59" customWidth="1"/>
  </cols>
  <sheetData>
    <row r="1" spans="1:5" ht="22.5" x14ac:dyDescent="0.25">
      <c r="E1" s="1" t="s">
        <v>53</v>
      </c>
    </row>
    <row r="2" spans="1:5" ht="21" x14ac:dyDescent="0.35">
      <c r="A2" s="310" t="s">
        <v>54</v>
      </c>
      <c r="B2" s="310"/>
      <c r="C2" s="310"/>
      <c r="E2" s="2" t="s">
        <v>55</v>
      </c>
    </row>
    <row r="3" spans="1:5" ht="174" customHeight="1" x14ac:dyDescent="0.3">
      <c r="A3" s="309" t="s">
        <v>56</v>
      </c>
      <c r="B3" s="309"/>
      <c r="C3" s="309"/>
      <c r="E3" s="4" t="s">
        <v>57</v>
      </c>
    </row>
    <row r="4" spans="1:5" ht="18.75" customHeight="1" thickBot="1" x14ac:dyDescent="0.35">
      <c r="A4" s="5"/>
      <c r="E4" s="6"/>
    </row>
    <row r="5" spans="1:5" ht="15.75" customHeight="1" thickBot="1" x14ac:dyDescent="0.3">
      <c r="A5" s="311" t="s">
        <v>58</v>
      </c>
      <c r="B5" s="312"/>
      <c r="C5" s="313"/>
      <c r="E5" s="7" t="s">
        <v>59</v>
      </c>
    </row>
    <row r="6" spans="1:5" ht="22.5" x14ac:dyDescent="0.25">
      <c r="A6" s="314" t="s">
        <v>60</v>
      </c>
      <c r="B6" s="314" t="s">
        <v>61</v>
      </c>
      <c r="C6" s="8" t="s">
        <v>62</v>
      </c>
      <c r="E6" s="7" t="s">
        <v>63</v>
      </c>
    </row>
    <row r="7" spans="1:5" ht="15.75" customHeight="1" thickBot="1" x14ac:dyDescent="0.3">
      <c r="A7" s="315"/>
      <c r="B7" s="315"/>
      <c r="C7" s="9" t="s">
        <v>64</v>
      </c>
      <c r="E7" s="7" t="s">
        <v>65</v>
      </c>
    </row>
    <row r="8" spans="1:5" ht="15.75" thickBot="1" x14ac:dyDescent="0.3">
      <c r="A8" s="10" t="s">
        <v>66</v>
      </c>
      <c r="B8" s="8">
        <v>30</v>
      </c>
      <c r="C8" s="8">
        <v>7</v>
      </c>
      <c r="D8">
        <f>(7/30)/12</f>
        <v>1.94444444444444E-2</v>
      </c>
      <c r="E8" s="11" t="s">
        <v>67</v>
      </c>
    </row>
    <row r="9" spans="1:5" ht="13.5" customHeight="1" x14ac:dyDescent="0.25">
      <c r="A9" s="12" t="s">
        <v>68</v>
      </c>
      <c r="B9" s="13">
        <v>33</v>
      </c>
      <c r="C9" s="13">
        <v>8</v>
      </c>
      <c r="D9">
        <f>(3/30)/12</f>
        <v>8.3333333333333297E-3</v>
      </c>
    </row>
    <row r="10" spans="1:5" ht="13.5" customHeight="1" x14ac:dyDescent="0.25">
      <c r="A10" s="12" t="s">
        <v>69</v>
      </c>
      <c r="B10" s="13">
        <v>36</v>
      </c>
      <c r="C10" s="13">
        <v>8</v>
      </c>
      <c r="D10">
        <f t="shared" ref="D10:D13" si="0">(3/30)/12</f>
        <v>8.3333333333333297E-3</v>
      </c>
    </row>
    <row r="11" spans="1:5" ht="13.5" customHeight="1" x14ac:dyDescent="0.25">
      <c r="A11" s="12" t="s">
        <v>70</v>
      </c>
      <c r="B11" s="13">
        <v>39</v>
      </c>
      <c r="C11" s="13">
        <v>9</v>
      </c>
      <c r="D11">
        <f t="shared" si="0"/>
        <v>8.3333333333333297E-3</v>
      </c>
    </row>
    <row r="12" spans="1:5" ht="13.5" customHeight="1" x14ac:dyDescent="0.25">
      <c r="A12" s="14" t="s">
        <v>71</v>
      </c>
      <c r="B12" s="15">
        <v>42</v>
      </c>
      <c r="C12" s="15">
        <v>10</v>
      </c>
      <c r="D12">
        <f t="shared" si="0"/>
        <v>8.3333333333333297E-3</v>
      </c>
    </row>
    <row r="13" spans="1:5" ht="13.5" customHeight="1" x14ac:dyDescent="0.25">
      <c r="A13" s="12" t="s">
        <v>72</v>
      </c>
      <c r="B13" s="13">
        <v>45</v>
      </c>
      <c r="C13" s="13">
        <v>11</v>
      </c>
      <c r="D13">
        <f t="shared" si="0"/>
        <v>8.3333333333333297E-3</v>
      </c>
      <c r="E13" t="s">
        <v>94</v>
      </c>
    </row>
    <row r="14" spans="1:5" x14ac:dyDescent="0.25">
      <c r="A14" s="12" t="s">
        <v>73</v>
      </c>
      <c r="B14" s="13">
        <v>48</v>
      </c>
      <c r="C14" s="13">
        <v>11</v>
      </c>
      <c r="E14" t="s">
        <v>52</v>
      </c>
    </row>
    <row r="15" spans="1:5" x14ac:dyDescent="0.25">
      <c r="A15" s="12" t="s">
        <v>74</v>
      </c>
      <c r="B15" s="13">
        <v>51</v>
      </c>
      <c r="C15" s="13">
        <v>12</v>
      </c>
    </row>
    <row r="16" spans="1:5" x14ac:dyDescent="0.25">
      <c r="A16" s="12" t="s">
        <v>75</v>
      </c>
      <c r="B16" s="13">
        <v>54</v>
      </c>
      <c r="C16" s="13">
        <v>13</v>
      </c>
    </row>
    <row r="17" spans="1:5" x14ac:dyDescent="0.25">
      <c r="A17" s="12" t="s">
        <v>76</v>
      </c>
      <c r="B17" s="13">
        <v>57</v>
      </c>
      <c r="C17" s="13">
        <v>13</v>
      </c>
    </row>
    <row r="18" spans="1:5" x14ac:dyDescent="0.25">
      <c r="A18" s="12" t="s">
        <v>77</v>
      </c>
      <c r="B18" s="13">
        <v>60</v>
      </c>
      <c r="C18" s="13">
        <v>14</v>
      </c>
    </row>
    <row r="19" spans="1:5" x14ac:dyDescent="0.25">
      <c r="A19" s="12" t="s">
        <v>78</v>
      </c>
      <c r="B19" s="13">
        <v>63</v>
      </c>
      <c r="C19" s="13">
        <v>15</v>
      </c>
    </row>
    <row r="20" spans="1:5" x14ac:dyDescent="0.25">
      <c r="A20" s="12" t="s">
        <v>79</v>
      </c>
      <c r="B20" s="13">
        <v>66</v>
      </c>
      <c r="C20" s="13">
        <v>15</v>
      </c>
    </row>
    <row r="21" spans="1:5" x14ac:dyDescent="0.25">
      <c r="A21" s="12" t="s">
        <v>80</v>
      </c>
      <c r="B21" s="13">
        <v>69</v>
      </c>
      <c r="C21" s="13">
        <v>16</v>
      </c>
    </row>
    <row r="22" spans="1:5" x14ac:dyDescent="0.25">
      <c r="A22" s="12" t="s">
        <v>81</v>
      </c>
      <c r="B22" s="13">
        <v>72</v>
      </c>
      <c r="C22" s="13">
        <v>17</v>
      </c>
    </row>
    <row r="23" spans="1:5" x14ac:dyDescent="0.25">
      <c r="A23" s="12" t="s">
        <v>82</v>
      </c>
      <c r="B23" s="13">
        <v>75</v>
      </c>
      <c r="C23" s="13">
        <v>18</v>
      </c>
    </row>
    <row r="24" spans="1:5" x14ac:dyDescent="0.25">
      <c r="A24" s="12" t="s">
        <v>83</v>
      </c>
      <c r="B24" s="13">
        <v>78</v>
      </c>
      <c r="C24" s="13">
        <v>18</v>
      </c>
    </row>
    <row r="25" spans="1:5" x14ac:dyDescent="0.25">
      <c r="A25" s="12" t="s">
        <v>84</v>
      </c>
      <c r="B25" s="13">
        <v>81</v>
      </c>
      <c r="C25" s="13">
        <v>19</v>
      </c>
    </row>
    <row r="26" spans="1:5" x14ac:dyDescent="0.25">
      <c r="A26" s="12" t="s">
        <v>85</v>
      </c>
      <c r="B26" s="13">
        <v>84</v>
      </c>
      <c r="C26" s="13">
        <v>20</v>
      </c>
    </row>
    <row r="27" spans="1:5" x14ac:dyDescent="0.25">
      <c r="A27" s="12" t="s">
        <v>86</v>
      </c>
      <c r="B27" s="13">
        <v>87</v>
      </c>
      <c r="C27" s="13">
        <v>20</v>
      </c>
    </row>
    <row r="28" spans="1:5" ht="15.75" thickBot="1" x14ac:dyDescent="0.3">
      <c r="A28" s="16" t="s">
        <v>87</v>
      </c>
      <c r="B28" s="9">
        <v>90</v>
      </c>
      <c r="C28" s="9">
        <v>21</v>
      </c>
      <c r="E28" s="17" t="s">
        <v>88</v>
      </c>
    </row>
    <row r="29" spans="1:5" ht="18.75" x14ac:dyDescent="0.3">
      <c r="A29" s="5"/>
    </row>
    <row r="30" spans="1:5" ht="145.5" customHeight="1" x14ac:dyDescent="0.3">
      <c r="A30" s="316" t="s">
        <v>89</v>
      </c>
      <c r="B30" s="316"/>
      <c r="C30" s="316"/>
    </row>
    <row r="31" spans="1:5" ht="18.75" x14ac:dyDescent="0.3">
      <c r="A31" s="5"/>
    </row>
    <row r="32" spans="1:5" ht="18.75" x14ac:dyDescent="0.3">
      <c r="A32" s="18" t="s">
        <v>90</v>
      </c>
    </row>
    <row r="33" spans="1:3" ht="18.75" x14ac:dyDescent="0.3">
      <c r="A33" s="5"/>
    </row>
    <row r="34" spans="1:3" x14ac:dyDescent="0.25">
      <c r="A34" s="309" t="s">
        <v>91</v>
      </c>
      <c r="B34" s="309"/>
      <c r="C34" s="309"/>
    </row>
    <row r="35" spans="1:3" x14ac:dyDescent="0.25">
      <c r="A35" s="309"/>
      <c r="B35" s="309"/>
      <c r="C35" s="309"/>
    </row>
    <row r="36" spans="1:3" x14ac:dyDescent="0.25">
      <c r="A36" s="309" t="s">
        <v>92</v>
      </c>
      <c r="B36" s="309"/>
      <c r="C36" s="309"/>
    </row>
    <row r="37" spans="1:3" x14ac:dyDescent="0.25">
      <c r="A37" s="309"/>
      <c r="B37" s="309"/>
      <c r="C37" s="309"/>
    </row>
    <row r="40" spans="1:3" x14ac:dyDescent="0.25">
      <c r="A40" s="19" t="s">
        <v>93</v>
      </c>
    </row>
  </sheetData>
  <mergeCells count="8">
    <mergeCell ref="A34:C35"/>
    <mergeCell ref="A36:C37"/>
    <mergeCell ref="A2:C2"/>
    <mergeCell ref="A3:C3"/>
    <mergeCell ref="A5:C5"/>
    <mergeCell ref="A6:A7"/>
    <mergeCell ref="B6:B7"/>
    <mergeCell ref="A30:C30"/>
  </mergeCells>
  <hyperlinks>
    <hyperlink ref="E28" location="'ADAPTAÇÃO A IN 06_13'!B77" display="VOLTAR PLANILHA PRINCIPAL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3"/>
  <sheetViews>
    <sheetView view="pageBreakPreview" topLeftCell="A94" zoomScaleNormal="115" zoomScaleSheetLayoutView="100" workbookViewId="0">
      <selection activeCell="A6" sqref="A6"/>
    </sheetView>
  </sheetViews>
  <sheetFormatPr defaultColWidth="9.140625" defaultRowHeight="15.75" x14ac:dyDescent="0.25"/>
  <cols>
    <col min="1" max="1" width="4.42578125" style="29" bestFit="1" customWidth="1"/>
    <col min="2" max="2" width="72.5703125" style="31" customWidth="1"/>
    <col min="3" max="4" width="15.7109375" style="32" customWidth="1"/>
    <col min="5" max="5" width="15.7109375" style="28" customWidth="1"/>
    <col min="6" max="6" width="9.140625" style="28" customWidth="1"/>
    <col min="7" max="16384" width="9.140625" style="28"/>
  </cols>
  <sheetData>
    <row r="1" spans="1:5" x14ac:dyDescent="0.25">
      <c r="A1" s="340"/>
      <c r="B1" s="341"/>
      <c r="C1" s="341"/>
      <c r="D1" s="341"/>
      <c r="E1" s="342"/>
    </row>
    <row r="2" spans="1:5" s="38" customFormat="1" ht="16.5" customHeight="1" x14ac:dyDescent="0.25">
      <c r="A2" s="379" t="s">
        <v>132</v>
      </c>
      <c r="B2" s="380"/>
      <c r="C2" s="380"/>
      <c r="D2" s="380"/>
      <c r="E2" s="381"/>
    </row>
    <row r="3" spans="1:5" s="38" customFormat="1" ht="15.75" customHeight="1" x14ac:dyDescent="0.25">
      <c r="A3" s="40" t="s">
        <v>0</v>
      </c>
      <c r="B3" s="41" t="s">
        <v>1</v>
      </c>
      <c r="C3" s="343">
        <v>2024</v>
      </c>
      <c r="D3" s="343"/>
      <c r="E3" s="344"/>
    </row>
    <row r="4" spans="1:5" s="38" customFormat="1" ht="90" customHeight="1" x14ac:dyDescent="0.25">
      <c r="A4" s="40" t="s">
        <v>2</v>
      </c>
      <c r="B4" s="41" t="s">
        <v>140</v>
      </c>
      <c r="C4" s="345" t="s">
        <v>263</v>
      </c>
      <c r="D4" s="345"/>
      <c r="E4" s="346"/>
    </row>
    <row r="5" spans="1:5" s="38" customFormat="1" ht="15.75" customHeight="1" x14ac:dyDescent="0.25">
      <c r="A5" s="40" t="s">
        <v>3</v>
      </c>
      <c r="B5" s="41" t="s">
        <v>4</v>
      </c>
      <c r="C5" s="345"/>
      <c r="D5" s="345"/>
      <c r="E5" s="346"/>
    </row>
    <row r="6" spans="1:5" s="38" customFormat="1" x14ac:dyDescent="0.25">
      <c r="A6" s="40" t="s">
        <v>5</v>
      </c>
      <c r="B6" s="41" t="s">
        <v>143</v>
      </c>
      <c r="C6" s="345">
        <v>12</v>
      </c>
      <c r="D6" s="345"/>
      <c r="E6" s="346"/>
    </row>
    <row r="7" spans="1:5" s="38" customFormat="1" x14ac:dyDescent="0.25">
      <c r="A7" s="349" t="s">
        <v>6</v>
      </c>
      <c r="B7" s="350"/>
      <c r="C7" s="350"/>
      <c r="D7" s="350"/>
      <c r="E7" s="351"/>
    </row>
    <row r="8" spans="1:5" s="38" customFormat="1" x14ac:dyDescent="0.25">
      <c r="A8" s="349" t="s">
        <v>7</v>
      </c>
      <c r="B8" s="350"/>
      <c r="C8" s="350"/>
      <c r="D8" s="350"/>
      <c r="E8" s="351"/>
    </row>
    <row r="9" spans="1:5" s="38" customFormat="1" ht="15.75" customHeight="1" x14ac:dyDescent="0.25">
      <c r="A9" s="349" t="s">
        <v>8</v>
      </c>
      <c r="B9" s="350"/>
      <c r="C9" s="350"/>
      <c r="D9" s="350"/>
      <c r="E9" s="351"/>
    </row>
    <row r="10" spans="1:5" s="38" customFormat="1" ht="30" customHeight="1" x14ac:dyDescent="0.25">
      <c r="A10" s="352" t="s">
        <v>9</v>
      </c>
      <c r="B10" s="353"/>
      <c r="C10" s="353"/>
      <c r="D10" s="409" t="s">
        <v>10</v>
      </c>
      <c r="E10" s="410"/>
    </row>
    <row r="11" spans="1:5" s="38" customFormat="1" ht="75" customHeight="1" x14ac:dyDescent="0.25">
      <c r="A11" s="40">
        <v>1</v>
      </c>
      <c r="B11" s="42" t="s">
        <v>133</v>
      </c>
      <c r="C11" s="414" t="s">
        <v>264</v>
      </c>
      <c r="D11" s="414"/>
      <c r="E11" s="415"/>
    </row>
    <row r="12" spans="1:5" s="38" customFormat="1" ht="30" customHeight="1" x14ac:dyDescent="0.25">
      <c r="A12" s="40">
        <v>2</v>
      </c>
      <c r="B12" s="42" t="s">
        <v>11</v>
      </c>
      <c r="C12" s="447">
        <f>(13581.68+(13581.68*10.18%)+(14964.25*8.9%)+(16296.07*6.97%))</f>
        <v>17431.95</v>
      </c>
      <c r="D12" s="447"/>
      <c r="E12" s="448"/>
    </row>
    <row r="13" spans="1:5" s="38" customFormat="1" ht="15.75" customHeight="1" x14ac:dyDescent="0.25">
      <c r="A13" s="40">
        <v>3</v>
      </c>
      <c r="B13" s="42" t="s">
        <v>12</v>
      </c>
      <c r="C13" s="414" t="s">
        <v>272</v>
      </c>
      <c r="D13" s="414"/>
      <c r="E13" s="415"/>
    </row>
    <row r="14" spans="1:5" s="38" customFormat="1" x14ac:dyDescent="0.25">
      <c r="A14" s="40">
        <v>4</v>
      </c>
      <c r="B14" s="43" t="s">
        <v>13</v>
      </c>
      <c r="C14" s="418"/>
      <c r="D14" s="418"/>
      <c r="E14" s="419"/>
    </row>
    <row r="15" spans="1:5" s="39" customFormat="1" ht="31.5" x14ac:dyDescent="0.25">
      <c r="A15" s="376" t="s">
        <v>14</v>
      </c>
      <c r="B15" s="377"/>
      <c r="C15" s="377"/>
      <c r="D15" s="168" t="s">
        <v>267</v>
      </c>
      <c r="E15" s="182" t="s">
        <v>269</v>
      </c>
    </row>
    <row r="16" spans="1:5" s="39" customFormat="1" x14ac:dyDescent="0.25">
      <c r="A16" s="280">
        <v>1</v>
      </c>
      <c r="B16" s="356" t="s">
        <v>15</v>
      </c>
      <c r="C16" s="356"/>
      <c r="D16" s="57" t="s">
        <v>10</v>
      </c>
      <c r="E16" s="58" t="s">
        <v>10</v>
      </c>
    </row>
    <row r="17" spans="1:5" s="38" customFormat="1" ht="15.75" customHeight="1" x14ac:dyDescent="0.25">
      <c r="A17" s="44" t="s">
        <v>0</v>
      </c>
      <c r="B17" s="45" t="s">
        <v>16</v>
      </c>
      <c r="C17" s="43"/>
      <c r="D17" s="75">
        <f>C12</f>
        <v>17431.95</v>
      </c>
      <c r="E17" s="59">
        <f>C12</f>
        <v>17431.95</v>
      </c>
    </row>
    <row r="18" spans="1:5" s="38" customFormat="1" ht="15.75" customHeight="1" x14ac:dyDescent="0.25">
      <c r="A18" s="44" t="s">
        <v>2</v>
      </c>
      <c r="B18" s="45" t="s">
        <v>17</v>
      </c>
      <c r="C18" s="76"/>
      <c r="D18" s="77"/>
      <c r="E18" s="60"/>
    </row>
    <row r="19" spans="1:5" s="38" customFormat="1" ht="15.75" customHeight="1" x14ac:dyDescent="0.25">
      <c r="A19" s="44" t="s">
        <v>3</v>
      </c>
      <c r="B19" s="45" t="s">
        <v>18</v>
      </c>
      <c r="C19" s="109" t="s">
        <v>243</v>
      </c>
      <c r="D19" s="77">
        <f>40%*1412</f>
        <v>564.79999999999995</v>
      </c>
      <c r="E19" s="60">
        <f>40%*1412</f>
        <v>564.79999999999995</v>
      </c>
    </row>
    <row r="20" spans="1:5" s="38" customFormat="1" ht="15.75" customHeight="1" x14ac:dyDescent="0.25">
      <c r="A20" s="44" t="s">
        <v>5</v>
      </c>
      <c r="B20" s="45" t="s">
        <v>19</v>
      </c>
      <c r="C20" s="76"/>
      <c r="D20" s="77"/>
      <c r="E20" s="60"/>
    </row>
    <row r="21" spans="1:5" s="38" customFormat="1" ht="15.75" customHeight="1" x14ac:dyDescent="0.25">
      <c r="A21" s="44" t="s">
        <v>20</v>
      </c>
      <c r="B21" s="45" t="s">
        <v>204</v>
      </c>
      <c r="C21" s="76"/>
      <c r="D21" s="77"/>
      <c r="E21" s="60"/>
    </row>
    <row r="22" spans="1:5" s="38" customFormat="1" x14ac:dyDescent="0.25">
      <c r="A22" s="44" t="s">
        <v>21</v>
      </c>
      <c r="B22" s="45" t="s">
        <v>138</v>
      </c>
      <c r="C22" s="48"/>
      <c r="D22" s="77"/>
      <c r="E22" s="60"/>
    </row>
    <row r="23" spans="1:5" s="38" customFormat="1" ht="15.75" customHeight="1" x14ac:dyDescent="0.25">
      <c r="A23" s="44" t="s">
        <v>22</v>
      </c>
      <c r="B23" s="46" t="s">
        <v>139</v>
      </c>
      <c r="C23" s="48"/>
      <c r="D23" s="77"/>
      <c r="E23" s="60"/>
    </row>
    <row r="24" spans="1:5" s="39" customFormat="1" ht="15.75" customHeight="1" x14ac:dyDescent="0.25">
      <c r="A24" s="367" t="s">
        <v>152</v>
      </c>
      <c r="B24" s="368"/>
      <c r="C24" s="368"/>
      <c r="D24" s="66">
        <f>SUM(D17:D23)</f>
        <v>17996.75</v>
      </c>
      <c r="E24" s="61">
        <f>SUM(E17:E23)</f>
        <v>17996.75</v>
      </c>
    </row>
    <row r="25" spans="1:5" s="39" customFormat="1" x14ac:dyDescent="0.25">
      <c r="A25" s="370" t="s">
        <v>51</v>
      </c>
      <c r="B25" s="371"/>
      <c r="C25" s="371"/>
      <c r="D25" s="272"/>
      <c r="E25" s="159"/>
    </row>
    <row r="26" spans="1:5" s="38" customFormat="1" x14ac:dyDescent="0.25">
      <c r="A26" s="273">
        <v>2</v>
      </c>
      <c r="B26" s="354" t="s">
        <v>205</v>
      </c>
      <c r="C26" s="382"/>
      <c r="D26" s="69" t="s">
        <v>10</v>
      </c>
      <c r="E26" s="173" t="s">
        <v>10</v>
      </c>
    </row>
    <row r="27" spans="1:5" s="38" customFormat="1" x14ac:dyDescent="0.25">
      <c r="A27" s="49" t="s">
        <v>0</v>
      </c>
      <c r="B27" s="50" t="s">
        <v>28</v>
      </c>
      <c r="C27" s="55">
        <f>1/12</f>
        <v>8.3299999999999999E-2</v>
      </c>
      <c r="D27" s="78">
        <f>(D24)*C27</f>
        <v>1499.13</v>
      </c>
      <c r="E27" s="62">
        <f>(E24)*C27</f>
        <v>1499.13</v>
      </c>
    </row>
    <row r="28" spans="1:5" s="38" customFormat="1" x14ac:dyDescent="0.25">
      <c r="A28" s="49" t="s">
        <v>2</v>
      </c>
      <c r="B28" s="50" t="s">
        <v>148</v>
      </c>
      <c r="C28" s="55">
        <v>0.1111</v>
      </c>
      <c r="D28" s="78">
        <f>(D24)*C28</f>
        <v>1999.44</v>
      </c>
      <c r="E28" s="62">
        <f>(E24)*C28</f>
        <v>1999.44</v>
      </c>
    </row>
    <row r="29" spans="1:5" x14ac:dyDescent="0.25">
      <c r="A29" s="358" t="s">
        <v>27</v>
      </c>
      <c r="B29" s="359"/>
      <c r="C29" s="92">
        <f>SUM(C27:C28)</f>
        <v>0.19439999999999999</v>
      </c>
      <c r="D29" s="80">
        <f>SUM(D27:D28)</f>
        <v>3498.57</v>
      </c>
      <c r="E29" s="63">
        <f>SUM(E27:E28)</f>
        <v>3498.57</v>
      </c>
    </row>
    <row r="30" spans="1:5" ht="32.25" customHeight="1" x14ac:dyDescent="0.25">
      <c r="A30" s="362" t="s">
        <v>206</v>
      </c>
      <c r="B30" s="363"/>
      <c r="C30" s="363"/>
      <c r="D30" s="363"/>
      <c r="E30" s="364"/>
    </row>
    <row r="31" spans="1:5" x14ac:dyDescent="0.25">
      <c r="A31" s="270" t="s">
        <v>215</v>
      </c>
      <c r="B31" s="360" t="s">
        <v>25</v>
      </c>
      <c r="C31" s="361"/>
      <c r="D31" s="70" t="s">
        <v>10</v>
      </c>
      <c r="E31" s="171" t="s">
        <v>10</v>
      </c>
    </row>
    <row r="32" spans="1:5" x14ac:dyDescent="0.25">
      <c r="A32" s="49" t="s">
        <v>0</v>
      </c>
      <c r="B32" s="81" t="s">
        <v>207</v>
      </c>
      <c r="C32" s="55">
        <v>0.2</v>
      </c>
      <c r="D32" s="78">
        <f>(D24+D29)*C32</f>
        <v>4299.0600000000004</v>
      </c>
      <c r="E32" s="62">
        <f>(E24+E29)*C32</f>
        <v>4299.0600000000004</v>
      </c>
    </row>
    <row r="33" spans="1:5" x14ac:dyDescent="0.25">
      <c r="A33" s="49" t="s">
        <v>2</v>
      </c>
      <c r="B33" s="81" t="s">
        <v>208</v>
      </c>
      <c r="C33" s="82">
        <v>1.4999999999999999E-2</v>
      </c>
      <c r="D33" s="78">
        <f>(D24+D29)*C33</f>
        <v>322.43</v>
      </c>
      <c r="E33" s="62">
        <f>(E24+E29)*C33</f>
        <v>322.43</v>
      </c>
    </row>
    <row r="34" spans="1:5" x14ac:dyDescent="0.25">
      <c r="A34" s="49" t="s">
        <v>3</v>
      </c>
      <c r="B34" s="81" t="s">
        <v>209</v>
      </c>
      <c r="C34" s="82">
        <v>0.01</v>
      </c>
      <c r="D34" s="78">
        <f>(D24+D29)*C34</f>
        <v>214.95</v>
      </c>
      <c r="E34" s="62">
        <f>(E24+E29)*C34</f>
        <v>214.95</v>
      </c>
    </row>
    <row r="35" spans="1:5" ht="31.5" x14ac:dyDescent="0.25">
      <c r="A35" s="49" t="s">
        <v>5</v>
      </c>
      <c r="B35" s="269" t="s">
        <v>210</v>
      </c>
      <c r="C35" s="82">
        <v>2E-3</v>
      </c>
      <c r="D35" s="78">
        <f>(D24+D29)*C35</f>
        <v>42.99</v>
      </c>
      <c r="E35" s="62">
        <f>(E24+E29)*C35</f>
        <v>42.99</v>
      </c>
    </row>
    <row r="36" spans="1:5" x14ac:dyDescent="0.25">
      <c r="A36" s="49" t="s">
        <v>20</v>
      </c>
      <c r="B36" s="81" t="s">
        <v>211</v>
      </c>
      <c r="C36" s="82">
        <v>2.5000000000000001E-2</v>
      </c>
      <c r="D36" s="78">
        <f>(D24+D29)*C36</f>
        <v>537.38</v>
      </c>
      <c r="E36" s="62">
        <f>(E24+E29)*C36</f>
        <v>537.38</v>
      </c>
    </row>
    <row r="37" spans="1:5" x14ac:dyDescent="0.25">
      <c r="A37" s="49" t="s">
        <v>21</v>
      </c>
      <c r="B37" s="108" t="s">
        <v>212</v>
      </c>
      <c r="C37" s="82">
        <v>0.08</v>
      </c>
      <c r="D37" s="78">
        <f>(D24+D29)*C37</f>
        <v>1719.63</v>
      </c>
      <c r="E37" s="62">
        <f>(E24+E29)*C37</f>
        <v>1719.63</v>
      </c>
    </row>
    <row r="38" spans="1:5" ht="30.75" customHeight="1" x14ac:dyDescent="0.25">
      <c r="A38" s="49" t="s">
        <v>22</v>
      </c>
      <c r="B38" s="269" t="s">
        <v>213</v>
      </c>
      <c r="C38" s="82">
        <v>0.03</v>
      </c>
      <c r="D38" s="78">
        <f>(D24+D29)*C38</f>
        <v>644.86</v>
      </c>
      <c r="E38" s="62">
        <f>(E24+E29)*C38</f>
        <v>644.86</v>
      </c>
    </row>
    <row r="39" spans="1:5" x14ac:dyDescent="0.25">
      <c r="A39" s="49" t="s">
        <v>26</v>
      </c>
      <c r="B39" s="107" t="s">
        <v>214</v>
      </c>
      <c r="C39" s="82">
        <v>6.0000000000000001E-3</v>
      </c>
      <c r="D39" s="78">
        <f>(D24+D29)*C39</f>
        <v>128.97</v>
      </c>
      <c r="E39" s="62">
        <f>(E24+E29)*C39</f>
        <v>128.97</v>
      </c>
    </row>
    <row r="40" spans="1:5" s="30" customFormat="1" x14ac:dyDescent="0.25">
      <c r="A40" s="358" t="s">
        <v>27</v>
      </c>
      <c r="B40" s="359"/>
      <c r="C40" s="56">
        <f>SUM(C32:C39)</f>
        <v>0.36799999999999999</v>
      </c>
      <c r="D40" s="80">
        <f>SUM(D32:D39)</f>
        <v>7910.27</v>
      </c>
      <c r="E40" s="63">
        <f>SUM(E32:E39)</f>
        <v>7910.27</v>
      </c>
    </row>
    <row r="41" spans="1:5" s="30" customFormat="1" x14ac:dyDescent="0.25">
      <c r="A41" s="74" t="s">
        <v>216</v>
      </c>
      <c r="B41" s="374" t="s">
        <v>217</v>
      </c>
      <c r="C41" s="375"/>
      <c r="D41" s="105" t="s">
        <v>10</v>
      </c>
      <c r="E41" s="191" t="s">
        <v>10</v>
      </c>
    </row>
    <row r="42" spans="1:5" s="30" customFormat="1" x14ac:dyDescent="0.25">
      <c r="A42" s="91" t="s">
        <v>0</v>
      </c>
      <c r="B42" s="53" t="s">
        <v>144</v>
      </c>
      <c r="C42" s="106"/>
      <c r="D42" s="77">
        <v>0</v>
      </c>
      <c r="E42" s="60">
        <v>0</v>
      </c>
    </row>
    <row r="43" spans="1:5" s="30" customFormat="1" x14ac:dyDescent="0.25">
      <c r="A43" s="47" t="s">
        <v>2</v>
      </c>
      <c r="B43" s="46" t="s">
        <v>218</v>
      </c>
      <c r="C43" s="73"/>
      <c r="D43" s="75">
        <f>C43-(C43*0.99%)</f>
        <v>0</v>
      </c>
      <c r="E43" s="59">
        <f>C43-(C43*0.99%)</f>
        <v>0</v>
      </c>
    </row>
    <row r="44" spans="1:5" s="30" customFormat="1" x14ac:dyDescent="0.25">
      <c r="A44" s="49" t="s">
        <v>5</v>
      </c>
      <c r="B44" s="50" t="s">
        <v>134</v>
      </c>
      <c r="C44" s="84"/>
      <c r="D44" s="85">
        <v>0</v>
      </c>
      <c r="E44" s="64">
        <v>0</v>
      </c>
    </row>
    <row r="45" spans="1:5" s="30" customFormat="1" x14ac:dyDescent="0.25">
      <c r="A45" s="49" t="s">
        <v>20</v>
      </c>
      <c r="B45" s="50" t="s">
        <v>135</v>
      </c>
      <c r="C45" s="55"/>
      <c r="D45" s="85">
        <f>D17*C45*0.0199*2/12</f>
        <v>0</v>
      </c>
      <c r="E45" s="64">
        <f>E17*C45*0.0199*2/12</f>
        <v>0</v>
      </c>
    </row>
    <row r="46" spans="1:5" s="30" customFormat="1" x14ac:dyDescent="0.25">
      <c r="A46" s="49" t="s">
        <v>21</v>
      </c>
      <c r="B46" s="50" t="s">
        <v>136</v>
      </c>
      <c r="C46" s="84"/>
      <c r="D46" s="78">
        <v>0</v>
      </c>
      <c r="E46" s="62">
        <v>0</v>
      </c>
    </row>
    <row r="47" spans="1:5" s="30" customFormat="1" ht="15.75" customHeight="1" x14ac:dyDescent="0.25">
      <c r="A47" s="358" t="s">
        <v>23</v>
      </c>
      <c r="B47" s="359"/>
      <c r="C47" s="359"/>
      <c r="D47" s="80">
        <f>SUM(D42:D46)</f>
        <v>0</v>
      </c>
      <c r="E47" s="63">
        <f>SUM(E42:E46)</f>
        <v>0</v>
      </c>
    </row>
    <row r="48" spans="1:5" s="30" customFormat="1" ht="15.75" customHeight="1" x14ac:dyDescent="0.25">
      <c r="A48" s="370" t="s">
        <v>151</v>
      </c>
      <c r="B48" s="371"/>
      <c r="C48" s="371"/>
      <c r="D48" s="371"/>
      <c r="E48" s="412"/>
    </row>
    <row r="49" spans="1:5" s="30" customFormat="1" ht="15.75" customHeight="1" x14ac:dyDescent="0.25">
      <c r="A49" s="280" t="s">
        <v>141</v>
      </c>
      <c r="B49" s="97" t="s">
        <v>145</v>
      </c>
      <c r="C49" s="277"/>
      <c r="D49" s="65">
        <f>D29</f>
        <v>3498.57</v>
      </c>
      <c r="E49" s="194">
        <f>E29</f>
        <v>3498.57</v>
      </c>
    </row>
    <row r="50" spans="1:5" s="30" customFormat="1" ht="15.75" customHeight="1" x14ac:dyDescent="0.25">
      <c r="A50" s="280" t="s">
        <v>215</v>
      </c>
      <c r="B50" s="97" t="s">
        <v>146</v>
      </c>
      <c r="C50" s="277"/>
      <c r="D50" s="65">
        <f>D40</f>
        <v>7910.27</v>
      </c>
      <c r="E50" s="194">
        <f>E40</f>
        <v>7910.27</v>
      </c>
    </row>
    <row r="51" spans="1:5" s="30" customFormat="1" ht="15.75" customHeight="1" x14ac:dyDescent="0.25">
      <c r="A51" s="280" t="s">
        <v>216</v>
      </c>
      <c r="B51" s="97" t="s">
        <v>147</v>
      </c>
      <c r="C51" s="277"/>
      <c r="D51" s="65">
        <f>D47</f>
        <v>0</v>
      </c>
      <c r="E51" s="194">
        <f>E47</f>
        <v>0</v>
      </c>
    </row>
    <row r="52" spans="1:5" s="30" customFormat="1" ht="15.75" customHeight="1" x14ac:dyDescent="0.25">
      <c r="A52" s="367" t="s">
        <v>153</v>
      </c>
      <c r="B52" s="368"/>
      <c r="C52" s="368"/>
      <c r="D52" s="66">
        <f>SUM(D49:D51)</f>
        <v>11408.84</v>
      </c>
      <c r="E52" s="61">
        <f>SUM(E49:E51)</f>
        <v>11408.84</v>
      </c>
    </row>
    <row r="53" spans="1:5" s="30" customFormat="1" ht="15.75" customHeight="1" x14ac:dyDescent="0.25">
      <c r="A53" s="370" t="s">
        <v>162</v>
      </c>
      <c r="B53" s="371"/>
      <c r="C53" s="371"/>
      <c r="D53" s="371"/>
      <c r="E53" s="412"/>
    </row>
    <row r="54" spans="1:5" s="30" customFormat="1" ht="15.75" customHeight="1" x14ac:dyDescent="0.25">
      <c r="A54" s="273" t="s">
        <v>200</v>
      </c>
      <c r="B54" s="354" t="s">
        <v>32</v>
      </c>
      <c r="C54" s="355"/>
      <c r="D54" s="69" t="s">
        <v>10</v>
      </c>
      <c r="E54" s="173" t="s">
        <v>10</v>
      </c>
    </row>
    <row r="55" spans="1:5" s="30" customFormat="1" ht="15.75" customHeight="1" x14ac:dyDescent="0.25">
      <c r="A55" s="49" t="s">
        <v>0</v>
      </c>
      <c r="B55" s="50" t="s">
        <v>33</v>
      </c>
      <c r="C55" s="55">
        <v>4.5999999999999999E-3</v>
      </c>
      <c r="D55" s="78">
        <f>D$24*C55</f>
        <v>82.79</v>
      </c>
      <c r="E55" s="62">
        <f>E$24*C55</f>
        <v>82.79</v>
      </c>
    </row>
    <row r="56" spans="1:5" s="30" customFormat="1" ht="15.75" customHeight="1" x14ac:dyDescent="0.25">
      <c r="A56" s="49" t="s">
        <v>2</v>
      </c>
      <c r="B56" s="50" t="s">
        <v>34</v>
      </c>
      <c r="C56" s="55">
        <v>4.0000000000000002E-4</v>
      </c>
      <c r="D56" s="78">
        <f>D$24*C56</f>
        <v>7.2</v>
      </c>
      <c r="E56" s="62">
        <f>E$24*C56</f>
        <v>7.2</v>
      </c>
    </row>
    <row r="57" spans="1:5" s="30" customFormat="1" ht="15.75" customHeight="1" x14ac:dyDescent="0.25">
      <c r="A57" s="49" t="s">
        <v>3</v>
      </c>
      <c r="B57" s="50" t="s">
        <v>35</v>
      </c>
      <c r="C57" s="55">
        <v>1.9400000000000001E-2</v>
      </c>
      <c r="D57" s="78">
        <f>D$24*C57</f>
        <v>349.14</v>
      </c>
      <c r="E57" s="62">
        <f>E$24*C57</f>
        <v>349.14</v>
      </c>
    </row>
    <row r="58" spans="1:5" s="30" customFormat="1" ht="15.75" customHeight="1" x14ac:dyDescent="0.25">
      <c r="A58" s="49" t="s">
        <v>5</v>
      </c>
      <c r="B58" s="98" t="s">
        <v>174</v>
      </c>
      <c r="C58" s="55">
        <v>7.1000000000000004E-3</v>
      </c>
      <c r="D58" s="78">
        <f>D$24*C58</f>
        <v>127.78</v>
      </c>
      <c r="E58" s="62">
        <f>E$24*C58</f>
        <v>127.78</v>
      </c>
    </row>
    <row r="59" spans="1:5" s="30" customFormat="1" ht="32.25" customHeight="1" x14ac:dyDescent="0.25">
      <c r="A59" s="49" t="s">
        <v>20</v>
      </c>
      <c r="B59" s="50" t="s">
        <v>219</v>
      </c>
      <c r="C59" s="55">
        <v>0.04</v>
      </c>
      <c r="D59" s="78">
        <f>D$24*C59</f>
        <v>719.87</v>
      </c>
      <c r="E59" s="62">
        <f>E$24*C59</f>
        <v>719.87</v>
      </c>
    </row>
    <row r="60" spans="1:5" s="30" customFormat="1" x14ac:dyDescent="0.25">
      <c r="A60" s="367" t="s">
        <v>154</v>
      </c>
      <c r="B60" s="368"/>
      <c r="C60" s="368"/>
      <c r="D60" s="66">
        <f>SUM(D55:D59)</f>
        <v>1286.78</v>
      </c>
      <c r="E60" s="61">
        <f>SUM(E55:E59)</f>
        <v>1286.78</v>
      </c>
    </row>
    <row r="61" spans="1:5" s="30" customFormat="1" x14ac:dyDescent="0.25">
      <c r="A61" s="370" t="s">
        <v>163</v>
      </c>
      <c r="B61" s="371"/>
      <c r="C61" s="371"/>
      <c r="D61" s="371"/>
      <c r="E61" s="412"/>
    </row>
    <row r="62" spans="1:5" s="30" customFormat="1" x14ac:dyDescent="0.25">
      <c r="A62" s="273" t="s">
        <v>199</v>
      </c>
      <c r="B62" s="369" t="s">
        <v>36</v>
      </c>
      <c r="C62" s="369"/>
      <c r="D62" s="69" t="s">
        <v>10</v>
      </c>
      <c r="E62" s="173" t="s">
        <v>10</v>
      </c>
    </row>
    <row r="63" spans="1:5" s="30" customFormat="1" x14ac:dyDescent="0.25">
      <c r="A63" s="49" t="s">
        <v>0</v>
      </c>
      <c r="B63" s="50" t="s">
        <v>192</v>
      </c>
      <c r="C63" s="55">
        <v>9.2999999999999992E-3</v>
      </c>
      <c r="D63" s="78">
        <f t="shared" ref="D63:D68" si="0">(D$24+D$52+D$60+D$83)*C63</f>
        <v>285.77999999999997</v>
      </c>
      <c r="E63" s="62">
        <f t="shared" ref="E63:E68" si="1">(E$24+E$52+E$60+E$83)*C63</f>
        <v>285.77999999999997</v>
      </c>
    </row>
    <row r="64" spans="1:5" s="30" customFormat="1" x14ac:dyDescent="0.25">
      <c r="A64" s="49" t="s">
        <v>2</v>
      </c>
      <c r="B64" s="50" t="s">
        <v>193</v>
      </c>
      <c r="C64" s="55">
        <v>1.66E-2</v>
      </c>
      <c r="D64" s="78">
        <f t="shared" si="0"/>
        <v>510.1</v>
      </c>
      <c r="E64" s="62">
        <f t="shared" si="1"/>
        <v>510.1</v>
      </c>
    </row>
    <row r="65" spans="1:5" s="30" customFormat="1" x14ac:dyDescent="0.25">
      <c r="A65" s="49" t="s">
        <v>3</v>
      </c>
      <c r="B65" s="50" t="s">
        <v>194</v>
      </c>
      <c r="C65" s="55">
        <v>2.0000000000000001E-4</v>
      </c>
      <c r="D65" s="78">
        <f t="shared" si="0"/>
        <v>6.15</v>
      </c>
      <c r="E65" s="62">
        <f t="shared" si="1"/>
        <v>6.15</v>
      </c>
    </row>
    <row r="66" spans="1:5" s="30" customFormat="1" x14ac:dyDescent="0.25">
      <c r="A66" s="49" t="s">
        <v>5</v>
      </c>
      <c r="B66" s="50" t="s">
        <v>195</v>
      </c>
      <c r="C66" s="55">
        <v>2.7000000000000001E-3</v>
      </c>
      <c r="D66" s="78">
        <f t="shared" si="0"/>
        <v>82.97</v>
      </c>
      <c r="E66" s="62">
        <f t="shared" si="1"/>
        <v>82.97</v>
      </c>
    </row>
    <row r="67" spans="1:5" s="30" customFormat="1" x14ac:dyDescent="0.25">
      <c r="A67" s="49" t="s">
        <v>20</v>
      </c>
      <c r="B67" s="50" t="s">
        <v>196</v>
      </c>
      <c r="C67" s="55">
        <v>2.9999999999999997E-4</v>
      </c>
      <c r="D67" s="78">
        <f t="shared" si="0"/>
        <v>9.2200000000000006</v>
      </c>
      <c r="E67" s="62">
        <f t="shared" si="1"/>
        <v>9.2200000000000006</v>
      </c>
    </row>
    <row r="68" spans="1:5" s="30" customFormat="1" ht="15.75" customHeight="1" x14ac:dyDescent="0.25">
      <c r="A68" s="49" t="s">
        <v>21</v>
      </c>
      <c r="B68" s="276" t="s">
        <v>197</v>
      </c>
      <c r="C68" s="55">
        <v>0</v>
      </c>
      <c r="D68" s="78">
        <f t="shared" si="0"/>
        <v>0</v>
      </c>
      <c r="E68" s="62">
        <f t="shared" si="1"/>
        <v>0</v>
      </c>
    </row>
    <row r="69" spans="1:5" s="30" customFormat="1" x14ac:dyDescent="0.25">
      <c r="A69" s="358" t="s">
        <v>29</v>
      </c>
      <c r="B69" s="359"/>
      <c r="C69" s="56">
        <f>SUM(C63:C68)</f>
        <v>2.9100000000000001E-2</v>
      </c>
      <c r="D69" s="80">
        <f>SUM(D63:D68)</f>
        <v>894.22</v>
      </c>
      <c r="E69" s="63">
        <f>SUM(E63:E68)</f>
        <v>894.22</v>
      </c>
    </row>
    <row r="70" spans="1:5" s="30" customFormat="1" x14ac:dyDescent="0.25">
      <c r="A70" s="280"/>
      <c r="B70" s="277"/>
      <c r="C70" s="72"/>
      <c r="D70" s="72"/>
      <c r="E70" s="59"/>
    </row>
    <row r="71" spans="1:5" s="30" customFormat="1" x14ac:dyDescent="0.25">
      <c r="A71" s="280"/>
      <c r="B71" s="356" t="s">
        <v>201</v>
      </c>
      <c r="C71" s="357"/>
      <c r="D71" s="69" t="s">
        <v>10</v>
      </c>
      <c r="E71" s="173" t="s">
        <v>10</v>
      </c>
    </row>
    <row r="72" spans="1:5" s="30" customFormat="1" x14ac:dyDescent="0.25">
      <c r="A72" s="47" t="s">
        <v>0</v>
      </c>
      <c r="B72" s="271" t="s">
        <v>202</v>
      </c>
      <c r="C72" s="160">
        <v>0</v>
      </c>
      <c r="D72" s="211">
        <v>0</v>
      </c>
      <c r="E72" s="212">
        <v>0</v>
      </c>
    </row>
    <row r="73" spans="1:5" s="30" customFormat="1" ht="15.75" customHeight="1" x14ac:dyDescent="0.25">
      <c r="A73" s="358" t="s">
        <v>27</v>
      </c>
      <c r="B73" s="359"/>
      <c r="C73" s="94">
        <v>0</v>
      </c>
      <c r="D73" s="80">
        <f>D72</f>
        <v>0</v>
      </c>
      <c r="E73" s="63">
        <f>E72</f>
        <v>0</v>
      </c>
    </row>
    <row r="74" spans="1:5" s="30" customFormat="1" ht="15.75" customHeight="1" x14ac:dyDescent="0.25">
      <c r="A74" s="370" t="s">
        <v>30</v>
      </c>
      <c r="B74" s="371"/>
      <c r="C74" s="371"/>
      <c r="D74" s="371"/>
      <c r="E74" s="412"/>
    </row>
    <row r="75" spans="1:5" s="30" customFormat="1" ht="15.75" customHeight="1" x14ac:dyDescent="0.25">
      <c r="A75" s="372" t="s">
        <v>203</v>
      </c>
      <c r="B75" s="373"/>
      <c r="C75" s="373"/>
      <c r="D75" s="373"/>
      <c r="E75" s="439"/>
    </row>
    <row r="76" spans="1:5" s="30" customFormat="1" ht="15.75" customHeight="1" x14ac:dyDescent="0.25">
      <c r="A76" s="273">
        <v>4</v>
      </c>
      <c r="B76" s="354" t="s">
        <v>220</v>
      </c>
      <c r="C76" s="355"/>
      <c r="D76" s="69" t="s">
        <v>10</v>
      </c>
      <c r="E76" s="173" t="s">
        <v>10</v>
      </c>
    </row>
    <row r="77" spans="1:5" s="30" customFormat="1" ht="15.75" customHeight="1" x14ac:dyDescent="0.25">
      <c r="A77" s="49" t="s">
        <v>199</v>
      </c>
      <c r="B77" s="50" t="s">
        <v>198</v>
      </c>
      <c r="C77" s="55">
        <f>C69</f>
        <v>2.9100000000000001E-2</v>
      </c>
      <c r="D77" s="78">
        <f>D69</f>
        <v>894.22</v>
      </c>
      <c r="E77" s="62">
        <f>E69</f>
        <v>894.22</v>
      </c>
    </row>
    <row r="78" spans="1:5" s="30" customFormat="1" ht="15.75" customHeight="1" x14ac:dyDescent="0.25">
      <c r="A78" s="49" t="s">
        <v>221</v>
      </c>
      <c r="B78" s="50" t="s">
        <v>201</v>
      </c>
      <c r="C78" s="55">
        <v>0</v>
      </c>
      <c r="D78" s="78">
        <f>(D$24+D$52+D$60)*C78</f>
        <v>0</v>
      </c>
      <c r="E78" s="62">
        <f>(E$24+E$52+E$60)*C78</f>
        <v>0</v>
      </c>
    </row>
    <row r="79" spans="1:5" s="30" customFormat="1" ht="15.75" customHeight="1" x14ac:dyDescent="0.25">
      <c r="A79" s="358" t="s">
        <v>27</v>
      </c>
      <c r="B79" s="359"/>
      <c r="C79" s="92">
        <f>SUM(C77:C78)</f>
        <v>2.9100000000000001E-2</v>
      </c>
      <c r="D79" s="80">
        <f>SUM(D77:D78)</f>
        <v>894.22</v>
      </c>
      <c r="E79" s="63">
        <f>SUM(E77:E78)</f>
        <v>894.22</v>
      </c>
    </row>
    <row r="80" spans="1:5" s="30" customFormat="1" ht="15.75" customHeight="1" x14ac:dyDescent="0.25">
      <c r="A80" s="367" t="s">
        <v>155</v>
      </c>
      <c r="B80" s="368"/>
      <c r="C80" s="368"/>
      <c r="D80" s="66">
        <f>SUM(D73+D79)</f>
        <v>894.22</v>
      </c>
      <c r="E80" s="61">
        <f>SUM(E73+E79)</f>
        <v>894.22</v>
      </c>
    </row>
    <row r="81" spans="1:5" s="30" customFormat="1" ht="15.75" customHeight="1" x14ac:dyDescent="0.25">
      <c r="A81" s="365" t="s">
        <v>164</v>
      </c>
      <c r="B81" s="366"/>
      <c r="C81" s="366"/>
      <c r="D81" s="366"/>
      <c r="E81" s="437"/>
    </row>
    <row r="82" spans="1:5" s="30" customFormat="1" ht="15.75" customHeight="1" x14ac:dyDescent="0.25">
      <c r="A82" s="273">
        <v>5</v>
      </c>
      <c r="B82" s="354" t="s">
        <v>24</v>
      </c>
      <c r="C82" s="355"/>
      <c r="D82" s="69" t="s">
        <v>10</v>
      </c>
      <c r="E82" s="173" t="s">
        <v>10</v>
      </c>
    </row>
    <row r="83" spans="1:5" s="30" customFormat="1" ht="15.75" customHeight="1" x14ac:dyDescent="0.25">
      <c r="A83" s="49" t="s">
        <v>0</v>
      </c>
      <c r="B83" s="401" t="s">
        <v>222</v>
      </c>
      <c r="C83" s="401"/>
      <c r="D83" s="78">
        <f>Uniformes!H7</f>
        <v>36.619999999999997</v>
      </c>
      <c r="E83" s="62">
        <f>Uniformes!H7</f>
        <v>36.619999999999997</v>
      </c>
    </row>
    <row r="84" spans="1:5" s="30" customFormat="1" ht="15.75" customHeight="1" x14ac:dyDescent="0.25">
      <c r="A84" s="49" t="s">
        <v>2</v>
      </c>
      <c r="B84" s="401" t="s">
        <v>223</v>
      </c>
      <c r="C84" s="401"/>
      <c r="D84" s="78">
        <f>Materiais!H20</f>
        <v>44.57</v>
      </c>
      <c r="E84" s="62">
        <f>Materiais!H21</f>
        <v>44.57</v>
      </c>
    </row>
    <row r="85" spans="1:5" s="30" customFormat="1" ht="15.75" customHeight="1" x14ac:dyDescent="0.25">
      <c r="A85" s="49" t="s">
        <v>3</v>
      </c>
      <c r="B85" s="401" t="s">
        <v>187</v>
      </c>
      <c r="C85" s="401"/>
      <c r="D85" s="78">
        <f>Equipamentos!H21</f>
        <v>922.4</v>
      </c>
      <c r="E85" s="62">
        <f>Equipamentos!H22</f>
        <v>922.4</v>
      </c>
    </row>
    <row r="86" spans="1:5" s="30" customFormat="1" ht="15.75" customHeight="1" x14ac:dyDescent="0.25">
      <c r="A86" s="49" t="s">
        <v>5</v>
      </c>
      <c r="B86" s="401" t="s">
        <v>137</v>
      </c>
      <c r="C86" s="401"/>
      <c r="D86" s="78">
        <v>0</v>
      </c>
      <c r="E86" s="62">
        <v>0</v>
      </c>
    </row>
    <row r="87" spans="1:5" s="30" customFormat="1" ht="15.75" customHeight="1" x14ac:dyDescent="0.25">
      <c r="A87" s="367" t="s">
        <v>156</v>
      </c>
      <c r="B87" s="368"/>
      <c r="C87" s="368"/>
      <c r="D87" s="66">
        <f>SUM(D83:D86)</f>
        <v>1003.59</v>
      </c>
      <c r="E87" s="61">
        <f>SUM(E83:E86)</f>
        <v>1003.59</v>
      </c>
    </row>
    <row r="88" spans="1:5" s="30" customFormat="1" ht="23.25" customHeight="1" x14ac:dyDescent="0.25">
      <c r="A88" s="365" t="s">
        <v>37</v>
      </c>
      <c r="B88" s="366"/>
      <c r="C88" s="366"/>
      <c r="D88" s="161">
        <f>D87+D80+D60+D52+D24</f>
        <v>32590.18</v>
      </c>
      <c r="E88" s="207">
        <f>E87+E80+E60+E52+E24</f>
        <v>32590.18</v>
      </c>
    </row>
    <row r="89" spans="1:5" s="30" customFormat="1" ht="19.5" customHeight="1" x14ac:dyDescent="0.25">
      <c r="A89" s="370" t="s">
        <v>165</v>
      </c>
      <c r="B89" s="371"/>
      <c r="C89" s="371"/>
      <c r="D89" s="371"/>
      <c r="E89" s="412"/>
    </row>
    <row r="90" spans="1:5" s="30" customFormat="1" x14ac:dyDescent="0.25">
      <c r="A90" s="273">
        <v>5</v>
      </c>
      <c r="B90" s="354" t="s">
        <v>38</v>
      </c>
      <c r="C90" s="382"/>
      <c r="D90" s="69" t="s">
        <v>10</v>
      </c>
      <c r="E90" s="173" t="s">
        <v>10</v>
      </c>
    </row>
    <row r="91" spans="1:5" s="30" customFormat="1" x14ac:dyDescent="0.25">
      <c r="A91" s="273" t="s">
        <v>0</v>
      </c>
      <c r="B91" s="50" t="s">
        <v>39</v>
      </c>
      <c r="C91" s="55">
        <v>0.03</v>
      </c>
      <c r="D91" s="78">
        <f>D88*C91</f>
        <v>977.71</v>
      </c>
      <c r="E91" s="62">
        <f>E88*C91</f>
        <v>977.71</v>
      </c>
    </row>
    <row r="92" spans="1:5" s="30" customFormat="1" x14ac:dyDescent="0.25">
      <c r="A92" s="273" t="s">
        <v>2</v>
      </c>
      <c r="B92" s="50" t="s">
        <v>40</v>
      </c>
      <c r="C92" s="55">
        <v>6.7900000000000002E-2</v>
      </c>
      <c r="D92" s="78">
        <f>C92*(D88+D91)</f>
        <v>2279.2600000000002</v>
      </c>
      <c r="E92" s="62">
        <f>C92*(E88+E91)</f>
        <v>2279.2600000000002</v>
      </c>
    </row>
    <row r="93" spans="1:5" s="30" customFormat="1" ht="31.5" x14ac:dyDescent="0.25">
      <c r="A93" s="396" t="s">
        <v>3</v>
      </c>
      <c r="B93" s="50" t="s">
        <v>50</v>
      </c>
      <c r="C93" s="55">
        <f>1-C101</f>
        <v>0.85750000000000004</v>
      </c>
      <c r="D93" s="78">
        <f>D88+D91+D92</f>
        <v>35847.15</v>
      </c>
      <c r="E93" s="62">
        <f>E88+E91+E92</f>
        <v>35847.15</v>
      </c>
    </row>
    <row r="94" spans="1:5" s="30" customFormat="1" x14ac:dyDescent="0.25">
      <c r="A94" s="396"/>
      <c r="B94" s="276" t="s">
        <v>41</v>
      </c>
      <c r="C94" s="89"/>
      <c r="D94" s="162">
        <f>+D93/C93</f>
        <v>41804.26</v>
      </c>
      <c r="E94" s="208">
        <f>+E93/C93</f>
        <v>41804.26</v>
      </c>
    </row>
    <row r="95" spans="1:5" s="30" customFormat="1" x14ac:dyDescent="0.25">
      <c r="A95" s="396"/>
      <c r="B95" s="276" t="s">
        <v>42</v>
      </c>
      <c r="C95" s="68"/>
      <c r="D95" s="78"/>
      <c r="E95" s="62"/>
    </row>
    <row r="96" spans="1:5" s="30" customFormat="1" x14ac:dyDescent="0.25">
      <c r="A96" s="396"/>
      <c r="B96" s="50" t="s">
        <v>130</v>
      </c>
      <c r="C96" s="55">
        <v>1.6500000000000001E-2</v>
      </c>
      <c r="D96" s="78">
        <f>+D94*C96</f>
        <v>689.77</v>
      </c>
      <c r="E96" s="62">
        <f>+E94*C96</f>
        <v>689.77</v>
      </c>
    </row>
    <row r="97" spans="1:5" s="30" customFormat="1" x14ac:dyDescent="0.25">
      <c r="A97" s="396"/>
      <c r="B97" s="50" t="s">
        <v>131</v>
      </c>
      <c r="C97" s="55">
        <v>7.5999999999999998E-2</v>
      </c>
      <c r="D97" s="78">
        <f>+D94*C97</f>
        <v>3177.12</v>
      </c>
      <c r="E97" s="62">
        <f>+E94*C97</f>
        <v>3177.12</v>
      </c>
    </row>
    <row r="98" spans="1:5" s="30" customFormat="1" x14ac:dyDescent="0.25">
      <c r="A98" s="396"/>
      <c r="B98" s="51" t="s">
        <v>43</v>
      </c>
      <c r="C98" s="89"/>
      <c r="D98" s="78"/>
      <c r="E98" s="62"/>
    </row>
    <row r="99" spans="1:5" s="30" customFormat="1" x14ac:dyDescent="0.25">
      <c r="A99" s="396"/>
      <c r="B99" s="51" t="s">
        <v>44</v>
      </c>
      <c r="C99" s="95"/>
      <c r="D99" s="78"/>
      <c r="E99" s="62"/>
    </row>
    <row r="100" spans="1:5" s="30" customFormat="1" x14ac:dyDescent="0.25">
      <c r="A100" s="396"/>
      <c r="B100" s="50" t="s">
        <v>142</v>
      </c>
      <c r="C100" s="55">
        <v>0.05</v>
      </c>
      <c r="D100" s="78">
        <f>+D94*C100</f>
        <v>2090.21</v>
      </c>
      <c r="E100" s="62">
        <f>+E94*C100</f>
        <v>2090.21</v>
      </c>
    </row>
    <row r="101" spans="1:5" s="30" customFormat="1" x14ac:dyDescent="0.25">
      <c r="A101" s="273"/>
      <c r="B101" s="99" t="s">
        <v>45</v>
      </c>
      <c r="C101" s="100">
        <f>SUM(C96:C100)</f>
        <v>0.14249999999999999</v>
      </c>
      <c r="D101" s="101">
        <f>SUM(D96:D100)</f>
        <v>5957.1</v>
      </c>
      <c r="E101" s="197">
        <f>SUM(E96:E100)</f>
        <v>5957.1</v>
      </c>
    </row>
    <row r="102" spans="1:5" s="30" customFormat="1" ht="15.75" customHeight="1" x14ac:dyDescent="0.25">
      <c r="A102" s="358" t="s">
        <v>46</v>
      </c>
      <c r="B102" s="359"/>
      <c r="C102" s="359"/>
      <c r="D102" s="80">
        <f>+D91+D92+D101</f>
        <v>9214.07</v>
      </c>
      <c r="E102" s="63">
        <f>+E91+E92+E101</f>
        <v>9214.07</v>
      </c>
    </row>
    <row r="103" spans="1:5" s="30" customFormat="1" ht="15.75" customHeight="1" x14ac:dyDescent="0.25">
      <c r="A103" s="397" t="s">
        <v>47</v>
      </c>
      <c r="B103" s="398"/>
      <c r="C103" s="398"/>
      <c r="D103" s="71" t="s">
        <v>10</v>
      </c>
      <c r="E103" s="198" t="s">
        <v>10</v>
      </c>
    </row>
    <row r="104" spans="1:5" s="30" customFormat="1" x14ac:dyDescent="0.25">
      <c r="A104" s="49" t="s">
        <v>0</v>
      </c>
      <c r="B104" s="399" t="s">
        <v>48</v>
      </c>
      <c r="C104" s="399"/>
      <c r="D104" s="78">
        <f>D24</f>
        <v>17996.75</v>
      </c>
      <c r="E104" s="62">
        <f>E24</f>
        <v>17996.75</v>
      </c>
    </row>
    <row r="105" spans="1:5" s="30" customFormat="1" x14ac:dyDescent="0.25">
      <c r="A105" s="49" t="s">
        <v>2</v>
      </c>
      <c r="B105" s="399" t="s">
        <v>159</v>
      </c>
      <c r="C105" s="399"/>
      <c r="D105" s="78">
        <f>D52</f>
        <v>11408.84</v>
      </c>
      <c r="E105" s="62">
        <f>E52</f>
        <v>11408.84</v>
      </c>
    </row>
    <row r="106" spans="1:5" s="30" customFormat="1" x14ac:dyDescent="0.25">
      <c r="A106" s="49" t="s">
        <v>3</v>
      </c>
      <c r="B106" s="399" t="s">
        <v>157</v>
      </c>
      <c r="C106" s="399"/>
      <c r="D106" s="78">
        <f>D60</f>
        <v>1286.78</v>
      </c>
      <c r="E106" s="62">
        <f>E60</f>
        <v>1286.78</v>
      </c>
    </row>
    <row r="107" spans="1:5" s="30" customFormat="1" x14ac:dyDescent="0.25">
      <c r="A107" s="49" t="s">
        <v>5</v>
      </c>
      <c r="B107" s="399" t="s">
        <v>150</v>
      </c>
      <c r="C107" s="399"/>
      <c r="D107" s="78">
        <f>D80</f>
        <v>894.22</v>
      </c>
      <c r="E107" s="62">
        <f>E80</f>
        <v>894.22</v>
      </c>
    </row>
    <row r="108" spans="1:5" s="30" customFormat="1" x14ac:dyDescent="0.25">
      <c r="A108" s="49" t="s">
        <v>20</v>
      </c>
      <c r="B108" s="399" t="s">
        <v>158</v>
      </c>
      <c r="C108" s="399"/>
      <c r="D108" s="78">
        <f>D87</f>
        <v>1003.59</v>
      </c>
      <c r="E108" s="62">
        <f>E87</f>
        <v>1003.59</v>
      </c>
    </row>
    <row r="109" spans="1:5" s="30" customFormat="1" ht="15.75" customHeight="1" x14ac:dyDescent="0.25">
      <c r="A109" s="396" t="s">
        <v>160</v>
      </c>
      <c r="B109" s="400"/>
      <c r="C109" s="400"/>
      <c r="D109" s="101">
        <f>SUM(D104:D108)</f>
        <v>32590.18</v>
      </c>
      <c r="E109" s="197">
        <f>SUM(E104:E108)</f>
        <v>32590.18</v>
      </c>
    </row>
    <row r="110" spans="1:5" s="30" customFormat="1" x14ac:dyDescent="0.25">
      <c r="A110" s="273" t="s">
        <v>20</v>
      </c>
      <c r="B110" s="399" t="s">
        <v>161</v>
      </c>
      <c r="C110" s="399"/>
      <c r="D110" s="78">
        <f>+D102</f>
        <v>9214.07</v>
      </c>
      <c r="E110" s="62">
        <f>+E102</f>
        <v>9214.07</v>
      </c>
    </row>
    <row r="111" spans="1:5" s="30" customFormat="1" ht="16.5" customHeight="1" thickBot="1" x14ac:dyDescent="0.3">
      <c r="A111" s="393" t="s">
        <v>49</v>
      </c>
      <c r="B111" s="394"/>
      <c r="C111" s="394"/>
      <c r="D111" s="165">
        <f>+D109+D110</f>
        <v>41804.25</v>
      </c>
      <c r="E111" s="210">
        <f>+E109+E110</f>
        <v>41804.25</v>
      </c>
    </row>
    <row r="112" spans="1:5" ht="16.5" thickBot="1" x14ac:dyDescent="0.3">
      <c r="A112" s="458" t="s">
        <v>234</v>
      </c>
      <c r="B112" s="459"/>
      <c r="C112" s="459"/>
      <c r="D112" s="459"/>
      <c r="E112" s="460"/>
    </row>
    <row r="113" spans="1:5" x14ac:dyDescent="0.25">
      <c r="A113" s="449" t="s">
        <v>297</v>
      </c>
      <c r="B113" s="450"/>
      <c r="C113" s="450"/>
      <c r="D113" s="450"/>
      <c r="E113" s="451"/>
    </row>
    <row r="114" spans="1:5" x14ac:dyDescent="0.25">
      <c r="A114" s="452"/>
      <c r="B114" s="453"/>
      <c r="C114" s="453"/>
      <c r="D114" s="453"/>
      <c r="E114" s="454"/>
    </row>
    <row r="115" spans="1:5" x14ac:dyDescent="0.25">
      <c r="A115" s="452"/>
      <c r="B115" s="453"/>
      <c r="C115" s="453"/>
      <c r="D115" s="453"/>
      <c r="E115" s="454"/>
    </row>
    <row r="116" spans="1:5" x14ac:dyDescent="0.25">
      <c r="A116" s="452"/>
      <c r="B116" s="453"/>
      <c r="C116" s="453"/>
      <c r="D116" s="453"/>
      <c r="E116" s="454"/>
    </row>
    <row r="117" spans="1:5" x14ac:dyDescent="0.25">
      <c r="A117" s="452"/>
      <c r="B117" s="453"/>
      <c r="C117" s="453"/>
      <c r="D117" s="453"/>
      <c r="E117" s="454"/>
    </row>
    <row r="118" spans="1:5" x14ac:dyDescent="0.25">
      <c r="A118" s="452"/>
      <c r="B118" s="453"/>
      <c r="C118" s="453"/>
      <c r="D118" s="453"/>
      <c r="E118" s="454"/>
    </row>
    <row r="119" spans="1:5" x14ac:dyDescent="0.25">
      <c r="A119" s="452"/>
      <c r="B119" s="453"/>
      <c r="C119" s="453"/>
      <c r="D119" s="453"/>
      <c r="E119" s="454"/>
    </row>
    <row r="120" spans="1:5" x14ac:dyDescent="0.25">
      <c r="A120" s="452"/>
      <c r="B120" s="453"/>
      <c r="C120" s="453"/>
      <c r="D120" s="453"/>
      <c r="E120" s="454"/>
    </row>
    <row r="121" spans="1:5" x14ac:dyDescent="0.25">
      <c r="A121" s="452"/>
      <c r="B121" s="453"/>
      <c r="C121" s="453"/>
      <c r="D121" s="453"/>
      <c r="E121" s="454"/>
    </row>
    <row r="122" spans="1:5" ht="16.5" thickBot="1" x14ac:dyDescent="0.3">
      <c r="A122" s="455"/>
      <c r="B122" s="456"/>
      <c r="C122" s="456"/>
      <c r="D122" s="456"/>
      <c r="E122" s="457"/>
    </row>
    <row r="123" spans="1:5" x14ac:dyDescent="0.25">
      <c r="B123" s="28"/>
    </row>
  </sheetData>
  <mergeCells count="64">
    <mergeCell ref="B106:C106"/>
    <mergeCell ref="B107:C107"/>
    <mergeCell ref="B108:C108"/>
    <mergeCell ref="A109:C109"/>
    <mergeCell ref="B110:C110"/>
    <mergeCell ref="A113:E122"/>
    <mergeCell ref="B104:C104"/>
    <mergeCell ref="B83:C83"/>
    <mergeCell ref="B84:C84"/>
    <mergeCell ref="B85:C85"/>
    <mergeCell ref="B86:C86"/>
    <mergeCell ref="A87:C87"/>
    <mergeCell ref="A88:C88"/>
    <mergeCell ref="A89:E89"/>
    <mergeCell ref="B90:C90"/>
    <mergeCell ref="A93:A100"/>
    <mergeCell ref="A102:C102"/>
    <mergeCell ref="A103:C103"/>
    <mergeCell ref="A111:C111"/>
    <mergeCell ref="A112:E112"/>
    <mergeCell ref="B105:C105"/>
    <mergeCell ref="B82:C82"/>
    <mergeCell ref="A61:E61"/>
    <mergeCell ref="B62:C62"/>
    <mergeCell ref="A69:B69"/>
    <mergeCell ref="B71:C71"/>
    <mergeCell ref="A73:B73"/>
    <mergeCell ref="A74:E74"/>
    <mergeCell ref="A75:E75"/>
    <mergeCell ref="B76:C76"/>
    <mergeCell ref="A79:B79"/>
    <mergeCell ref="A80:C80"/>
    <mergeCell ref="A81:E81"/>
    <mergeCell ref="A60:C60"/>
    <mergeCell ref="B26:C26"/>
    <mergeCell ref="A29:B29"/>
    <mergeCell ref="A30:E30"/>
    <mergeCell ref="B31:C31"/>
    <mergeCell ref="A40:B40"/>
    <mergeCell ref="B41:C41"/>
    <mergeCell ref="A47:C47"/>
    <mergeCell ref="A48:E48"/>
    <mergeCell ref="A52:C52"/>
    <mergeCell ref="A53:E53"/>
    <mergeCell ref="B54:C54"/>
    <mergeCell ref="A25:C25"/>
    <mergeCell ref="C6:E6"/>
    <mergeCell ref="A7:E7"/>
    <mergeCell ref="A8:E8"/>
    <mergeCell ref="A9:E9"/>
    <mergeCell ref="A10:C10"/>
    <mergeCell ref="C11:E11"/>
    <mergeCell ref="C13:E13"/>
    <mergeCell ref="C14:E14"/>
    <mergeCell ref="A15:C15"/>
    <mergeCell ref="B16:C16"/>
    <mergeCell ref="A24:C24"/>
    <mergeCell ref="C12:E12"/>
    <mergeCell ref="D10:E10"/>
    <mergeCell ref="C5:E5"/>
    <mergeCell ref="A1:E1"/>
    <mergeCell ref="A2:E2"/>
    <mergeCell ref="C3:E3"/>
    <mergeCell ref="C4:E4"/>
  </mergeCells>
  <hyperlinks>
    <hyperlink ref="B39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4" orientation="portrait"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3"/>
  <sheetViews>
    <sheetView view="pageBreakPreview" topLeftCell="A97" zoomScaleNormal="115" zoomScaleSheetLayoutView="100" workbookViewId="0">
      <selection activeCell="A6" sqref="A6"/>
    </sheetView>
  </sheetViews>
  <sheetFormatPr defaultColWidth="9.140625" defaultRowHeight="15.75" x14ac:dyDescent="0.25"/>
  <cols>
    <col min="1" max="1" width="4.42578125" style="29" bestFit="1" customWidth="1"/>
    <col min="2" max="2" width="72.5703125" style="31" customWidth="1"/>
    <col min="3" max="4" width="15.7109375" style="32" customWidth="1"/>
    <col min="5" max="5" width="15.7109375" style="28" customWidth="1"/>
    <col min="6" max="6" width="9.140625" style="28" customWidth="1"/>
    <col min="7" max="16384" width="9.140625" style="28"/>
  </cols>
  <sheetData>
    <row r="1" spans="1:5" x14ac:dyDescent="0.25">
      <c r="A1" s="340"/>
      <c r="B1" s="341"/>
      <c r="C1" s="341"/>
      <c r="D1" s="341"/>
      <c r="E1" s="342"/>
    </row>
    <row r="2" spans="1:5" s="38" customFormat="1" ht="16.5" customHeight="1" x14ac:dyDescent="0.25">
      <c r="A2" s="379" t="s">
        <v>132</v>
      </c>
      <c r="B2" s="380"/>
      <c r="C2" s="380"/>
      <c r="D2" s="380"/>
      <c r="E2" s="381"/>
    </row>
    <row r="3" spans="1:5" s="38" customFormat="1" ht="15.75" customHeight="1" x14ac:dyDescent="0.25">
      <c r="A3" s="40" t="s">
        <v>0</v>
      </c>
      <c r="B3" s="41" t="s">
        <v>1</v>
      </c>
      <c r="C3" s="343">
        <v>2024</v>
      </c>
      <c r="D3" s="343"/>
      <c r="E3" s="344"/>
    </row>
    <row r="4" spans="1:5" s="38" customFormat="1" ht="90" customHeight="1" x14ac:dyDescent="0.25">
      <c r="A4" s="40" t="s">
        <v>2</v>
      </c>
      <c r="B4" s="41" t="s">
        <v>140</v>
      </c>
      <c r="C4" s="345" t="s">
        <v>263</v>
      </c>
      <c r="D4" s="345"/>
      <c r="E4" s="346"/>
    </row>
    <row r="5" spans="1:5" s="38" customFormat="1" ht="15.75" customHeight="1" x14ac:dyDescent="0.25">
      <c r="A5" s="40" t="s">
        <v>3</v>
      </c>
      <c r="B5" s="41" t="s">
        <v>4</v>
      </c>
      <c r="C5" s="345"/>
      <c r="D5" s="345"/>
      <c r="E5" s="346"/>
    </row>
    <row r="6" spans="1:5" s="38" customFormat="1" x14ac:dyDescent="0.25">
      <c r="A6" s="40" t="s">
        <v>5</v>
      </c>
      <c r="B6" s="41" t="s">
        <v>143</v>
      </c>
      <c r="C6" s="345">
        <v>12</v>
      </c>
      <c r="D6" s="345"/>
      <c r="E6" s="346"/>
    </row>
    <row r="7" spans="1:5" s="38" customFormat="1" x14ac:dyDescent="0.25">
      <c r="A7" s="349" t="s">
        <v>6</v>
      </c>
      <c r="B7" s="350"/>
      <c r="C7" s="350"/>
      <c r="D7" s="350"/>
      <c r="E7" s="351"/>
    </row>
    <row r="8" spans="1:5" s="38" customFormat="1" x14ac:dyDescent="0.25">
      <c r="A8" s="349" t="s">
        <v>7</v>
      </c>
      <c r="B8" s="350"/>
      <c r="C8" s="350"/>
      <c r="D8" s="350"/>
      <c r="E8" s="351"/>
    </row>
    <row r="9" spans="1:5" s="38" customFormat="1" ht="15.75" customHeight="1" x14ac:dyDescent="0.25">
      <c r="A9" s="349" t="s">
        <v>8</v>
      </c>
      <c r="B9" s="350"/>
      <c r="C9" s="350"/>
      <c r="D9" s="350"/>
      <c r="E9" s="351"/>
    </row>
    <row r="10" spans="1:5" s="38" customFormat="1" ht="30" customHeight="1" x14ac:dyDescent="0.25">
      <c r="A10" s="352" t="s">
        <v>9</v>
      </c>
      <c r="B10" s="353"/>
      <c r="C10" s="353"/>
      <c r="D10" s="409" t="s">
        <v>10</v>
      </c>
      <c r="E10" s="410"/>
    </row>
    <row r="11" spans="1:5" s="38" customFormat="1" ht="60" customHeight="1" x14ac:dyDescent="0.25">
      <c r="A11" s="40">
        <v>1</v>
      </c>
      <c r="B11" s="42" t="s">
        <v>133</v>
      </c>
      <c r="C11" s="414" t="s">
        <v>264</v>
      </c>
      <c r="D11" s="414"/>
      <c r="E11" s="415"/>
    </row>
    <row r="12" spans="1:5" s="38" customFormat="1" ht="30" customHeight="1" x14ac:dyDescent="0.25">
      <c r="A12" s="40">
        <v>2</v>
      </c>
      <c r="B12" s="42" t="s">
        <v>11</v>
      </c>
      <c r="C12" s="447">
        <f>(13581.68+(13581.68*10.18%)+(14964.25*8.9%)+(16296.07*6.97%))</f>
        <v>17431.95</v>
      </c>
      <c r="D12" s="447"/>
      <c r="E12" s="448"/>
    </row>
    <row r="13" spans="1:5" s="38" customFormat="1" ht="15.95" customHeight="1" x14ac:dyDescent="0.25">
      <c r="A13" s="40">
        <v>3</v>
      </c>
      <c r="B13" s="42" t="s">
        <v>12</v>
      </c>
      <c r="C13" s="414" t="s">
        <v>239</v>
      </c>
      <c r="D13" s="414"/>
      <c r="E13" s="415"/>
    </row>
    <row r="14" spans="1:5" s="38" customFormat="1" x14ac:dyDescent="0.25">
      <c r="A14" s="40">
        <v>4</v>
      </c>
      <c r="B14" s="43" t="s">
        <v>13</v>
      </c>
      <c r="C14" s="418"/>
      <c r="D14" s="418"/>
      <c r="E14" s="419"/>
    </row>
    <row r="15" spans="1:5" s="39" customFormat="1" ht="31.5" x14ac:dyDescent="0.25">
      <c r="A15" s="376" t="s">
        <v>14</v>
      </c>
      <c r="B15" s="377"/>
      <c r="C15" s="377"/>
      <c r="D15" s="168" t="s">
        <v>267</v>
      </c>
      <c r="E15" s="182" t="s">
        <v>269</v>
      </c>
    </row>
    <row r="16" spans="1:5" s="39" customFormat="1" x14ac:dyDescent="0.25">
      <c r="A16" s="280">
        <v>1</v>
      </c>
      <c r="B16" s="356" t="s">
        <v>15</v>
      </c>
      <c r="C16" s="356"/>
      <c r="D16" s="57" t="s">
        <v>10</v>
      </c>
      <c r="E16" s="58" t="s">
        <v>10</v>
      </c>
    </row>
    <row r="17" spans="1:5" s="38" customFormat="1" ht="15.75" customHeight="1" x14ac:dyDescent="0.25">
      <c r="A17" s="44" t="s">
        <v>0</v>
      </c>
      <c r="B17" s="45" t="s">
        <v>16</v>
      </c>
      <c r="C17" s="43"/>
      <c r="D17" s="75">
        <f>C12</f>
        <v>17431.95</v>
      </c>
      <c r="E17" s="59">
        <f>C12</f>
        <v>17431.95</v>
      </c>
    </row>
    <row r="18" spans="1:5" s="38" customFormat="1" ht="15.75" customHeight="1" x14ac:dyDescent="0.25">
      <c r="A18" s="44" t="s">
        <v>2</v>
      </c>
      <c r="B18" s="45" t="s">
        <v>17</v>
      </c>
      <c r="C18" s="76"/>
      <c r="D18" s="77"/>
      <c r="E18" s="60"/>
    </row>
    <row r="19" spans="1:5" s="38" customFormat="1" ht="15.75" customHeight="1" x14ac:dyDescent="0.25">
      <c r="A19" s="44" t="s">
        <v>3</v>
      </c>
      <c r="B19" s="45" t="s">
        <v>18</v>
      </c>
      <c r="C19" s="109" t="s">
        <v>243</v>
      </c>
      <c r="D19" s="77">
        <f>40%*1412</f>
        <v>564.79999999999995</v>
      </c>
      <c r="E19" s="60">
        <f>40%*1412</f>
        <v>564.79999999999995</v>
      </c>
    </row>
    <row r="20" spans="1:5" s="38" customFormat="1" ht="15.75" customHeight="1" x14ac:dyDescent="0.25">
      <c r="A20" s="44" t="s">
        <v>5</v>
      </c>
      <c r="B20" s="45" t="s">
        <v>19</v>
      </c>
      <c r="C20" s="76"/>
      <c r="D20" s="77">
        <f>((((D17+D19)/220)*20%)*8)*15.21</f>
        <v>1990.77</v>
      </c>
      <c r="E20" s="60">
        <f>((((E17+E19)/220)*20%)*8)*15.21</f>
        <v>1990.77</v>
      </c>
    </row>
    <row r="21" spans="1:5" s="38" customFormat="1" ht="15.75" customHeight="1" x14ac:dyDescent="0.25">
      <c r="A21" s="44" t="s">
        <v>20</v>
      </c>
      <c r="B21" s="45" t="s">
        <v>204</v>
      </c>
      <c r="C21" s="76"/>
      <c r="D21" s="77"/>
      <c r="E21" s="60"/>
    </row>
    <row r="22" spans="1:5" s="38" customFormat="1" x14ac:dyDescent="0.25">
      <c r="A22" s="44" t="s">
        <v>21</v>
      </c>
      <c r="B22" s="45" t="s">
        <v>138</v>
      </c>
      <c r="C22" s="48"/>
      <c r="D22" s="77"/>
      <c r="E22" s="60"/>
    </row>
    <row r="23" spans="1:5" s="38" customFormat="1" ht="15.75" customHeight="1" x14ac:dyDescent="0.25">
      <c r="A23" s="44" t="s">
        <v>22</v>
      </c>
      <c r="B23" s="46" t="s">
        <v>139</v>
      </c>
      <c r="C23" s="48"/>
      <c r="D23" s="77"/>
      <c r="E23" s="60"/>
    </row>
    <row r="24" spans="1:5" s="39" customFormat="1" ht="15.75" customHeight="1" x14ac:dyDescent="0.25">
      <c r="A24" s="367" t="s">
        <v>152</v>
      </c>
      <c r="B24" s="368"/>
      <c r="C24" s="368"/>
      <c r="D24" s="66">
        <f>SUM(D17:D23)</f>
        <v>19987.52</v>
      </c>
      <c r="E24" s="61">
        <f>SUM(E17:E23)</f>
        <v>19987.52</v>
      </c>
    </row>
    <row r="25" spans="1:5" s="39" customFormat="1" x14ac:dyDescent="0.25">
      <c r="A25" s="370" t="s">
        <v>51</v>
      </c>
      <c r="B25" s="371"/>
      <c r="C25" s="371"/>
      <c r="D25" s="272"/>
      <c r="E25" s="159"/>
    </row>
    <row r="26" spans="1:5" s="38" customFormat="1" x14ac:dyDescent="0.25">
      <c r="A26" s="273">
        <v>2</v>
      </c>
      <c r="B26" s="354" t="s">
        <v>205</v>
      </c>
      <c r="C26" s="382"/>
      <c r="D26" s="69" t="s">
        <v>10</v>
      </c>
      <c r="E26" s="173" t="s">
        <v>10</v>
      </c>
    </row>
    <row r="27" spans="1:5" s="38" customFormat="1" x14ac:dyDescent="0.25">
      <c r="A27" s="49" t="s">
        <v>0</v>
      </c>
      <c r="B27" s="50" t="s">
        <v>28</v>
      </c>
      <c r="C27" s="55">
        <f>1/12</f>
        <v>8.3299999999999999E-2</v>
      </c>
      <c r="D27" s="78">
        <f>(D24)*C27</f>
        <v>1664.96</v>
      </c>
      <c r="E27" s="62">
        <f>(E24)*C27</f>
        <v>1664.96</v>
      </c>
    </row>
    <row r="28" spans="1:5" s="38" customFormat="1" x14ac:dyDescent="0.25">
      <c r="A28" s="49" t="s">
        <v>2</v>
      </c>
      <c r="B28" s="50" t="s">
        <v>148</v>
      </c>
      <c r="C28" s="55">
        <v>0.1111</v>
      </c>
      <c r="D28" s="78">
        <f>(D24)*C28</f>
        <v>2220.61</v>
      </c>
      <c r="E28" s="62">
        <f>(E24)*C28</f>
        <v>2220.61</v>
      </c>
    </row>
    <row r="29" spans="1:5" x14ac:dyDescent="0.25">
      <c r="A29" s="358" t="s">
        <v>27</v>
      </c>
      <c r="B29" s="359"/>
      <c r="C29" s="92">
        <f>SUM(C27:C28)</f>
        <v>0.19439999999999999</v>
      </c>
      <c r="D29" s="80">
        <f>SUM(D27:D28)</f>
        <v>3885.57</v>
      </c>
      <c r="E29" s="63">
        <f>SUM(E27:E28)</f>
        <v>3885.57</v>
      </c>
    </row>
    <row r="30" spans="1:5" ht="32.25" customHeight="1" x14ac:dyDescent="0.25">
      <c r="A30" s="362" t="s">
        <v>206</v>
      </c>
      <c r="B30" s="363"/>
      <c r="C30" s="363"/>
      <c r="D30" s="363"/>
      <c r="E30" s="364"/>
    </row>
    <row r="31" spans="1:5" x14ac:dyDescent="0.25">
      <c r="A31" s="270" t="s">
        <v>215</v>
      </c>
      <c r="B31" s="360" t="s">
        <v>25</v>
      </c>
      <c r="C31" s="361"/>
      <c r="D31" s="70" t="s">
        <v>10</v>
      </c>
      <c r="E31" s="171" t="s">
        <v>10</v>
      </c>
    </row>
    <row r="32" spans="1:5" x14ac:dyDescent="0.25">
      <c r="A32" s="49" t="s">
        <v>0</v>
      </c>
      <c r="B32" s="81" t="s">
        <v>207</v>
      </c>
      <c r="C32" s="55">
        <v>0.2</v>
      </c>
      <c r="D32" s="78">
        <f>(D24+D29)*C32</f>
        <v>4774.62</v>
      </c>
      <c r="E32" s="62">
        <f>(E24+E29)*C32</f>
        <v>4774.62</v>
      </c>
    </row>
    <row r="33" spans="1:5" x14ac:dyDescent="0.25">
      <c r="A33" s="49" t="s">
        <v>2</v>
      </c>
      <c r="B33" s="81" t="s">
        <v>208</v>
      </c>
      <c r="C33" s="82">
        <v>1.4999999999999999E-2</v>
      </c>
      <c r="D33" s="78">
        <f>(D24+D29)*C33</f>
        <v>358.1</v>
      </c>
      <c r="E33" s="62">
        <f>(E24+E29)*C33</f>
        <v>358.1</v>
      </c>
    </row>
    <row r="34" spans="1:5" x14ac:dyDescent="0.25">
      <c r="A34" s="49" t="s">
        <v>3</v>
      </c>
      <c r="B34" s="81" t="s">
        <v>209</v>
      </c>
      <c r="C34" s="82">
        <v>0.01</v>
      </c>
      <c r="D34" s="78">
        <f>(D24+D29)*C34</f>
        <v>238.73</v>
      </c>
      <c r="E34" s="62">
        <f>(E24+E29)*C34</f>
        <v>238.73</v>
      </c>
    </row>
    <row r="35" spans="1:5" ht="31.5" x14ac:dyDescent="0.25">
      <c r="A35" s="49" t="s">
        <v>5</v>
      </c>
      <c r="B35" s="269" t="s">
        <v>210</v>
      </c>
      <c r="C35" s="82">
        <v>2E-3</v>
      </c>
      <c r="D35" s="78">
        <f>(D24+D29)*C35</f>
        <v>47.75</v>
      </c>
      <c r="E35" s="62">
        <f>(E24+E29)*C35</f>
        <v>47.75</v>
      </c>
    </row>
    <row r="36" spans="1:5" x14ac:dyDescent="0.25">
      <c r="A36" s="49" t="s">
        <v>20</v>
      </c>
      <c r="B36" s="81" t="s">
        <v>211</v>
      </c>
      <c r="C36" s="82">
        <v>2.5000000000000001E-2</v>
      </c>
      <c r="D36" s="78">
        <f>(D24+D29)*C36</f>
        <v>596.83000000000004</v>
      </c>
      <c r="E36" s="62">
        <f>(E24+E29)*C36</f>
        <v>596.83000000000004</v>
      </c>
    </row>
    <row r="37" spans="1:5" x14ac:dyDescent="0.25">
      <c r="A37" s="49" t="s">
        <v>21</v>
      </c>
      <c r="B37" s="108" t="s">
        <v>212</v>
      </c>
      <c r="C37" s="82">
        <v>0.08</v>
      </c>
      <c r="D37" s="78">
        <f>(D24+D29)*C37</f>
        <v>1909.85</v>
      </c>
      <c r="E37" s="62">
        <f>(E24+E29)*C37</f>
        <v>1909.85</v>
      </c>
    </row>
    <row r="38" spans="1:5" ht="30.75" customHeight="1" x14ac:dyDescent="0.25">
      <c r="A38" s="49" t="s">
        <v>22</v>
      </c>
      <c r="B38" s="269" t="s">
        <v>213</v>
      </c>
      <c r="C38" s="82">
        <v>0.03</v>
      </c>
      <c r="D38" s="78">
        <f>(D24+D29)*C38</f>
        <v>716.19</v>
      </c>
      <c r="E38" s="62">
        <f>(E24+E29)*C38</f>
        <v>716.19</v>
      </c>
    </row>
    <row r="39" spans="1:5" x14ac:dyDescent="0.25">
      <c r="A39" s="49" t="s">
        <v>26</v>
      </c>
      <c r="B39" s="107" t="s">
        <v>214</v>
      </c>
      <c r="C39" s="82">
        <v>6.0000000000000001E-3</v>
      </c>
      <c r="D39" s="78">
        <f>(D24+D29)*C39</f>
        <v>143.24</v>
      </c>
      <c r="E39" s="62">
        <f>(E24+E29)*C39</f>
        <v>143.24</v>
      </c>
    </row>
    <row r="40" spans="1:5" s="30" customFormat="1" x14ac:dyDescent="0.25">
      <c r="A40" s="358" t="s">
        <v>27</v>
      </c>
      <c r="B40" s="359"/>
      <c r="C40" s="56">
        <f>SUM(C32:C39)</f>
        <v>0.36799999999999999</v>
      </c>
      <c r="D40" s="80">
        <f>SUM(D32:D39)</f>
        <v>8785.31</v>
      </c>
      <c r="E40" s="63">
        <f>SUM(E32:E39)</f>
        <v>8785.31</v>
      </c>
    </row>
    <row r="41" spans="1:5" s="30" customFormat="1" x14ac:dyDescent="0.25">
      <c r="A41" s="74" t="s">
        <v>216</v>
      </c>
      <c r="B41" s="374" t="s">
        <v>217</v>
      </c>
      <c r="C41" s="375"/>
      <c r="D41" s="105" t="s">
        <v>10</v>
      </c>
      <c r="E41" s="191" t="s">
        <v>10</v>
      </c>
    </row>
    <row r="42" spans="1:5" s="30" customFormat="1" x14ac:dyDescent="0.25">
      <c r="A42" s="91" t="s">
        <v>0</v>
      </c>
      <c r="B42" s="53" t="s">
        <v>144</v>
      </c>
      <c r="C42" s="106"/>
      <c r="D42" s="77">
        <v>0</v>
      </c>
      <c r="E42" s="60">
        <v>0</v>
      </c>
    </row>
    <row r="43" spans="1:5" s="30" customFormat="1" x14ac:dyDescent="0.25">
      <c r="A43" s="47" t="s">
        <v>2</v>
      </c>
      <c r="B43" s="46" t="s">
        <v>218</v>
      </c>
      <c r="C43" s="73"/>
      <c r="D43" s="75">
        <f>C43-(C43*0.99%)</f>
        <v>0</v>
      </c>
      <c r="E43" s="59">
        <f>C43-(C43*0.99%)</f>
        <v>0</v>
      </c>
    </row>
    <row r="44" spans="1:5" s="30" customFormat="1" x14ac:dyDescent="0.25">
      <c r="A44" s="49" t="s">
        <v>5</v>
      </c>
      <c r="B44" s="50" t="s">
        <v>134</v>
      </c>
      <c r="C44" s="84"/>
      <c r="D44" s="85">
        <v>0</v>
      </c>
      <c r="E44" s="64">
        <v>0</v>
      </c>
    </row>
    <row r="45" spans="1:5" s="30" customFormat="1" x14ac:dyDescent="0.25">
      <c r="A45" s="49" t="s">
        <v>20</v>
      </c>
      <c r="B45" s="50" t="s">
        <v>135</v>
      </c>
      <c r="C45" s="55"/>
      <c r="D45" s="85">
        <f>D17*C45*0.0199*2/12</f>
        <v>0</v>
      </c>
      <c r="E45" s="64">
        <f>E17*C45*0.0199*2/12</f>
        <v>0</v>
      </c>
    </row>
    <row r="46" spans="1:5" s="30" customFormat="1" x14ac:dyDescent="0.25">
      <c r="A46" s="49" t="s">
        <v>21</v>
      </c>
      <c r="B46" s="50" t="s">
        <v>136</v>
      </c>
      <c r="C46" s="84"/>
      <c r="D46" s="78">
        <v>0</v>
      </c>
      <c r="E46" s="62">
        <v>0</v>
      </c>
    </row>
    <row r="47" spans="1:5" s="30" customFormat="1" ht="15.75" customHeight="1" x14ac:dyDescent="0.25">
      <c r="A47" s="358" t="s">
        <v>23</v>
      </c>
      <c r="B47" s="359"/>
      <c r="C47" s="359"/>
      <c r="D47" s="80">
        <f>SUM(D42:D46)</f>
        <v>0</v>
      </c>
      <c r="E47" s="63">
        <f>SUM(E42:E46)</f>
        <v>0</v>
      </c>
    </row>
    <row r="48" spans="1:5" s="30" customFormat="1" ht="15.75" customHeight="1" x14ac:dyDescent="0.25">
      <c r="A48" s="370" t="s">
        <v>151</v>
      </c>
      <c r="B48" s="371"/>
      <c r="C48" s="371"/>
      <c r="D48" s="371"/>
      <c r="E48" s="412"/>
    </row>
    <row r="49" spans="1:5" s="30" customFormat="1" ht="15.75" customHeight="1" x14ac:dyDescent="0.25">
      <c r="A49" s="280" t="s">
        <v>141</v>
      </c>
      <c r="B49" s="97" t="s">
        <v>145</v>
      </c>
      <c r="C49" s="277"/>
      <c r="D49" s="65">
        <f>D29</f>
        <v>3885.57</v>
      </c>
      <c r="E49" s="194">
        <f>E29</f>
        <v>3885.57</v>
      </c>
    </row>
    <row r="50" spans="1:5" s="30" customFormat="1" ht="15.75" customHeight="1" x14ac:dyDescent="0.25">
      <c r="A50" s="280" t="s">
        <v>215</v>
      </c>
      <c r="B50" s="97" t="s">
        <v>146</v>
      </c>
      <c r="C50" s="277"/>
      <c r="D50" s="65">
        <f>D40</f>
        <v>8785.31</v>
      </c>
      <c r="E50" s="194">
        <f>E40</f>
        <v>8785.31</v>
      </c>
    </row>
    <row r="51" spans="1:5" s="30" customFormat="1" ht="15.75" customHeight="1" x14ac:dyDescent="0.25">
      <c r="A51" s="280" t="s">
        <v>216</v>
      </c>
      <c r="B51" s="97" t="s">
        <v>147</v>
      </c>
      <c r="C51" s="277"/>
      <c r="D51" s="65">
        <f>D47</f>
        <v>0</v>
      </c>
      <c r="E51" s="194">
        <f>E47</f>
        <v>0</v>
      </c>
    </row>
    <row r="52" spans="1:5" s="30" customFormat="1" ht="15.75" customHeight="1" x14ac:dyDescent="0.25">
      <c r="A52" s="367" t="s">
        <v>153</v>
      </c>
      <c r="B52" s="368"/>
      <c r="C52" s="368"/>
      <c r="D52" s="66">
        <f>SUM(D49:D51)</f>
        <v>12670.88</v>
      </c>
      <c r="E52" s="61">
        <f>SUM(E49:E51)</f>
        <v>12670.88</v>
      </c>
    </row>
    <row r="53" spans="1:5" s="30" customFormat="1" ht="15.75" customHeight="1" x14ac:dyDescent="0.25">
      <c r="A53" s="370" t="s">
        <v>162</v>
      </c>
      <c r="B53" s="371"/>
      <c r="C53" s="371"/>
      <c r="D53" s="371"/>
      <c r="E53" s="412"/>
    </row>
    <row r="54" spans="1:5" s="30" customFormat="1" ht="15.75" customHeight="1" x14ac:dyDescent="0.25">
      <c r="A54" s="273" t="s">
        <v>200</v>
      </c>
      <c r="B54" s="354" t="s">
        <v>32</v>
      </c>
      <c r="C54" s="355"/>
      <c r="D54" s="69" t="s">
        <v>10</v>
      </c>
      <c r="E54" s="173" t="s">
        <v>10</v>
      </c>
    </row>
    <row r="55" spans="1:5" s="30" customFormat="1" ht="15.75" customHeight="1" x14ac:dyDescent="0.25">
      <c r="A55" s="49" t="s">
        <v>0</v>
      </c>
      <c r="B55" s="50" t="s">
        <v>33</v>
      </c>
      <c r="C55" s="55">
        <v>4.5999999999999999E-3</v>
      </c>
      <c r="D55" s="78">
        <f>D$24*C55</f>
        <v>91.94</v>
      </c>
      <c r="E55" s="62">
        <f>E$24*C55</f>
        <v>91.94</v>
      </c>
    </row>
    <row r="56" spans="1:5" s="30" customFormat="1" ht="15.75" customHeight="1" x14ac:dyDescent="0.25">
      <c r="A56" s="49" t="s">
        <v>2</v>
      </c>
      <c r="B56" s="50" t="s">
        <v>34</v>
      </c>
      <c r="C56" s="55">
        <v>4.0000000000000002E-4</v>
      </c>
      <c r="D56" s="78">
        <f>D$24*C56</f>
        <v>8</v>
      </c>
      <c r="E56" s="62">
        <f>E$24*C56</f>
        <v>8</v>
      </c>
    </row>
    <row r="57" spans="1:5" s="30" customFormat="1" ht="15.75" customHeight="1" x14ac:dyDescent="0.25">
      <c r="A57" s="49" t="s">
        <v>3</v>
      </c>
      <c r="B57" s="50" t="s">
        <v>35</v>
      </c>
      <c r="C57" s="55">
        <v>1.9400000000000001E-2</v>
      </c>
      <c r="D57" s="78">
        <f>D$24*C57</f>
        <v>387.76</v>
      </c>
      <c r="E57" s="62">
        <f>E$24*C57</f>
        <v>387.76</v>
      </c>
    </row>
    <row r="58" spans="1:5" s="30" customFormat="1" ht="15.75" customHeight="1" x14ac:dyDescent="0.25">
      <c r="A58" s="49" t="s">
        <v>5</v>
      </c>
      <c r="B58" s="98" t="s">
        <v>174</v>
      </c>
      <c r="C58" s="55">
        <v>7.1000000000000004E-3</v>
      </c>
      <c r="D58" s="78">
        <f>D$24*C58</f>
        <v>141.91</v>
      </c>
      <c r="E58" s="62">
        <f>E$24*C58</f>
        <v>141.91</v>
      </c>
    </row>
    <row r="59" spans="1:5" s="30" customFormat="1" ht="32.25" customHeight="1" x14ac:dyDescent="0.25">
      <c r="A59" s="49" t="s">
        <v>20</v>
      </c>
      <c r="B59" s="50" t="s">
        <v>219</v>
      </c>
      <c r="C59" s="55">
        <v>0.04</v>
      </c>
      <c r="D59" s="78">
        <f>D$24*C59</f>
        <v>799.5</v>
      </c>
      <c r="E59" s="62">
        <f>E$24*C59</f>
        <v>799.5</v>
      </c>
    </row>
    <row r="60" spans="1:5" s="30" customFormat="1" x14ac:dyDescent="0.25">
      <c r="A60" s="367" t="s">
        <v>154</v>
      </c>
      <c r="B60" s="368"/>
      <c r="C60" s="368"/>
      <c r="D60" s="66">
        <f>SUM(D55:D59)</f>
        <v>1429.11</v>
      </c>
      <c r="E60" s="61">
        <f>SUM(E55:E59)</f>
        <v>1429.11</v>
      </c>
    </row>
    <row r="61" spans="1:5" s="30" customFormat="1" x14ac:dyDescent="0.25">
      <c r="A61" s="370" t="s">
        <v>163</v>
      </c>
      <c r="B61" s="371"/>
      <c r="C61" s="371"/>
      <c r="D61" s="371"/>
      <c r="E61" s="412"/>
    </row>
    <row r="62" spans="1:5" s="30" customFormat="1" x14ac:dyDescent="0.25">
      <c r="A62" s="273" t="s">
        <v>199</v>
      </c>
      <c r="B62" s="369" t="s">
        <v>36</v>
      </c>
      <c r="C62" s="369"/>
      <c r="D62" s="69" t="s">
        <v>10</v>
      </c>
      <c r="E62" s="173" t="s">
        <v>10</v>
      </c>
    </row>
    <row r="63" spans="1:5" s="30" customFormat="1" x14ac:dyDescent="0.25">
      <c r="A63" s="49" t="s">
        <v>0</v>
      </c>
      <c r="B63" s="50" t="s">
        <v>192</v>
      </c>
      <c r="C63" s="55">
        <v>9.2999999999999992E-3</v>
      </c>
      <c r="D63" s="78">
        <f t="shared" ref="D63:D68" si="0">(D$24+D$52+D$60+D$83)*C63</f>
        <v>317.35000000000002</v>
      </c>
      <c r="E63" s="62">
        <f t="shared" ref="E63:E68" si="1">(E$24+E$52+E$60+E$83)*C63</f>
        <v>317.35000000000002</v>
      </c>
    </row>
    <row r="64" spans="1:5" s="30" customFormat="1" x14ac:dyDescent="0.25">
      <c r="A64" s="49" t="s">
        <v>2</v>
      </c>
      <c r="B64" s="50" t="s">
        <v>193</v>
      </c>
      <c r="C64" s="55">
        <v>1.66E-2</v>
      </c>
      <c r="D64" s="78">
        <f t="shared" si="0"/>
        <v>566.46</v>
      </c>
      <c r="E64" s="62">
        <f t="shared" si="1"/>
        <v>566.46</v>
      </c>
    </row>
    <row r="65" spans="1:5" s="30" customFormat="1" x14ac:dyDescent="0.25">
      <c r="A65" s="49" t="s">
        <v>3</v>
      </c>
      <c r="B65" s="50" t="s">
        <v>194</v>
      </c>
      <c r="C65" s="55">
        <v>2.0000000000000001E-4</v>
      </c>
      <c r="D65" s="78">
        <f t="shared" si="0"/>
        <v>6.82</v>
      </c>
      <c r="E65" s="62">
        <f t="shared" si="1"/>
        <v>6.82</v>
      </c>
    </row>
    <row r="66" spans="1:5" s="30" customFormat="1" x14ac:dyDescent="0.25">
      <c r="A66" s="49" t="s">
        <v>5</v>
      </c>
      <c r="B66" s="50" t="s">
        <v>195</v>
      </c>
      <c r="C66" s="55">
        <v>2.7000000000000001E-3</v>
      </c>
      <c r="D66" s="78">
        <f t="shared" si="0"/>
        <v>92.14</v>
      </c>
      <c r="E66" s="62">
        <f t="shared" si="1"/>
        <v>92.14</v>
      </c>
    </row>
    <row r="67" spans="1:5" s="30" customFormat="1" x14ac:dyDescent="0.25">
      <c r="A67" s="49" t="s">
        <v>20</v>
      </c>
      <c r="B67" s="50" t="s">
        <v>196</v>
      </c>
      <c r="C67" s="55">
        <v>2.9999999999999997E-4</v>
      </c>
      <c r="D67" s="78">
        <f t="shared" si="0"/>
        <v>10.24</v>
      </c>
      <c r="E67" s="62">
        <f t="shared" si="1"/>
        <v>10.24</v>
      </c>
    </row>
    <row r="68" spans="1:5" s="30" customFormat="1" ht="15.75" customHeight="1" x14ac:dyDescent="0.25">
      <c r="A68" s="49" t="s">
        <v>21</v>
      </c>
      <c r="B68" s="276" t="s">
        <v>197</v>
      </c>
      <c r="C68" s="55">
        <v>0</v>
      </c>
      <c r="D68" s="78">
        <f t="shared" si="0"/>
        <v>0</v>
      </c>
      <c r="E68" s="62">
        <f t="shared" si="1"/>
        <v>0</v>
      </c>
    </row>
    <row r="69" spans="1:5" s="30" customFormat="1" x14ac:dyDescent="0.25">
      <c r="A69" s="358" t="s">
        <v>29</v>
      </c>
      <c r="B69" s="359"/>
      <c r="C69" s="56">
        <f>SUM(C63:C68)</f>
        <v>2.9100000000000001E-2</v>
      </c>
      <c r="D69" s="80">
        <f>SUM(D63:D68)</f>
        <v>993.01</v>
      </c>
      <c r="E69" s="63">
        <f>SUM(E63:E68)</f>
        <v>993.01</v>
      </c>
    </row>
    <row r="70" spans="1:5" s="30" customFormat="1" x14ac:dyDescent="0.25">
      <c r="A70" s="280"/>
      <c r="B70" s="277"/>
      <c r="C70" s="72"/>
      <c r="D70" s="72"/>
      <c r="E70" s="59"/>
    </row>
    <row r="71" spans="1:5" s="30" customFormat="1" x14ac:dyDescent="0.25">
      <c r="A71" s="280"/>
      <c r="B71" s="356" t="s">
        <v>201</v>
      </c>
      <c r="C71" s="357"/>
      <c r="D71" s="69" t="s">
        <v>10</v>
      </c>
      <c r="E71" s="173" t="s">
        <v>10</v>
      </c>
    </row>
    <row r="72" spans="1:5" s="30" customFormat="1" x14ac:dyDescent="0.25">
      <c r="A72" s="47" t="s">
        <v>0</v>
      </c>
      <c r="B72" s="271" t="s">
        <v>202</v>
      </c>
      <c r="C72" s="160">
        <v>0</v>
      </c>
      <c r="D72" s="211">
        <v>0</v>
      </c>
      <c r="E72" s="212">
        <v>0</v>
      </c>
    </row>
    <row r="73" spans="1:5" s="30" customFormat="1" ht="15.75" customHeight="1" x14ac:dyDescent="0.25">
      <c r="A73" s="358" t="s">
        <v>27</v>
      </c>
      <c r="B73" s="359"/>
      <c r="C73" s="94">
        <v>0</v>
      </c>
      <c r="D73" s="80">
        <f>D72</f>
        <v>0</v>
      </c>
      <c r="E73" s="63">
        <f>E72</f>
        <v>0</v>
      </c>
    </row>
    <row r="74" spans="1:5" s="30" customFormat="1" ht="15.75" customHeight="1" x14ac:dyDescent="0.25">
      <c r="A74" s="370" t="s">
        <v>30</v>
      </c>
      <c r="B74" s="371"/>
      <c r="C74" s="371"/>
      <c r="D74" s="371"/>
      <c r="E74" s="412"/>
    </row>
    <row r="75" spans="1:5" s="30" customFormat="1" ht="15.75" customHeight="1" x14ac:dyDescent="0.25">
      <c r="A75" s="372" t="s">
        <v>203</v>
      </c>
      <c r="B75" s="373"/>
      <c r="C75" s="373"/>
      <c r="D75" s="373"/>
      <c r="E75" s="439"/>
    </row>
    <row r="76" spans="1:5" s="30" customFormat="1" ht="15.75" customHeight="1" x14ac:dyDescent="0.25">
      <c r="A76" s="273">
        <v>4</v>
      </c>
      <c r="B76" s="354" t="s">
        <v>220</v>
      </c>
      <c r="C76" s="355"/>
      <c r="D76" s="69" t="s">
        <v>10</v>
      </c>
      <c r="E76" s="173" t="s">
        <v>10</v>
      </c>
    </row>
    <row r="77" spans="1:5" s="30" customFormat="1" ht="15.75" customHeight="1" x14ac:dyDescent="0.25">
      <c r="A77" s="49" t="s">
        <v>199</v>
      </c>
      <c r="B77" s="50" t="s">
        <v>198</v>
      </c>
      <c r="C77" s="55">
        <f>C69</f>
        <v>2.9100000000000001E-2</v>
      </c>
      <c r="D77" s="78">
        <f>D69</f>
        <v>993.01</v>
      </c>
      <c r="E77" s="62">
        <f>E69</f>
        <v>993.01</v>
      </c>
    </row>
    <row r="78" spans="1:5" s="30" customFormat="1" ht="15.75" customHeight="1" x14ac:dyDescent="0.25">
      <c r="A78" s="49" t="s">
        <v>221</v>
      </c>
      <c r="B78" s="50" t="s">
        <v>201</v>
      </c>
      <c r="C78" s="55">
        <v>0</v>
      </c>
      <c r="D78" s="78">
        <f>(D$24+D$52+D$60)*C78</f>
        <v>0</v>
      </c>
      <c r="E78" s="62">
        <f>(E$24+E$52+E$60)*C78</f>
        <v>0</v>
      </c>
    </row>
    <row r="79" spans="1:5" s="30" customFormat="1" ht="15.75" customHeight="1" x14ac:dyDescent="0.25">
      <c r="A79" s="358" t="s">
        <v>27</v>
      </c>
      <c r="B79" s="359"/>
      <c r="C79" s="92">
        <f>SUM(C77:C78)</f>
        <v>2.9100000000000001E-2</v>
      </c>
      <c r="D79" s="80">
        <f>SUM(D77:D78)</f>
        <v>993.01</v>
      </c>
      <c r="E79" s="63">
        <f>SUM(E77:E78)</f>
        <v>993.01</v>
      </c>
    </row>
    <row r="80" spans="1:5" s="30" customFormat="1" ht="15.75" customHeight="1" x14ac:dyDescent="0.25">
      <c r="A80" s="367" t="s">
        <v>155</v>
      </c>
      <c r="B80" s="368"/>
      <c r="C80" s="368"/>
      <c r="D80" s="66">
        <f>SUM(D73+D79)</f>
        <v>993.01</v>
      </c>
      <c r="E80" s="61">
        <f>SUM(E73+E79)</f>
        <v>993.01</v>
      </c>
    </row>
    <row r="81" spans="1:5" s="30" customFormat="1" ht="15.75" customHeight="1" x14ac:dyDescent="0.25">
      <c r="A81" s="365" t="s">
        <v>164</v>
      </c>
      <c r="B81" s="366"/>
      <c r="C81" s="366"/>
      <c r="D81" s="366"/>
      <c r="E81" s="437"/>
    </row>
    <row r="82" spans="1:5" s="30" customFormat="1" ht="15.75" customHeight="1" x14ac:dyDescent="0.25">
      <c r="A82" s="273">
        <v>5</v>
      </c>
      <c r="B82" s="354" t="s">
        <v>24</v>
      </c>
      <c r="C82" s="355"/>
      <c r="D82" s="69" t="s">
        <v>10</v>
      </c>
      <c r="E82" s="173" t="s">
        <v>10</v>
      </c>
    </row>
    <row r="83" spans="1:5" s="30" customFormat="1" ht="15.75" customHeight="1" x14ac:dyDescent="0.25">
      <c r="A83" s="49" t="s">
        <v>0</v>
      </c>
      <c r="B83" s="401" t="s">
        <v>222</v>
      </c>
      <c r="C83" s="401"/>
      <c r="D83" s="78">
        <f>Uniformes!H7</f>
        <v>36.619999999999997</v>
      </c>
      <c r="E83" s="62">
        <f>Uniformes!H7</f>
        <v>36.619999999999997</v>
      </c>
    </row>
    <row r="84" spans="1:5" s="30" customFormat="1" ht="15.75" customHeight="1" x14ac:dyDescent="0.25">
      <c r="A84" s="49" t="s">
        <v>2</v>
      </c>
      <c r="B84" s="401" t="s">
        <v>223</v>
      </c>
      <c r="C84" s="401"/>
      <c r="D84" s="78">
        <f>Materiais!H20</f>
        <v>44.57</v>
      </c>
      <c r="E84" s="62">
        <f>Materiais!H21</f>
        <v>44.57</v>
      </c>
    </row>
    <row r="85" spans="1:5" s="30" customFormat="1" ht="15.75" customHeight="1" x14ac:dyDescent="0.25">
      <c r="A85" s="49" t="s">
        <v>3</v>
      </c>
      <c r="B85" s="401" t="s">
        <v>187</v>
      </c>
      <c r="C85" s="401"/>
      <c r="D85" s="78">
        <f>Equipamentos!H21</f>
        <v>922.4</v>
      </c>
      <c r="E85" s="62">
        <f>Equipamentos!H22</f>
        <v>922.4</v>
      </c>
    </row>
    <row r="86" spans="1:5" s="30" customFormat="1" ht="15.75" customHeight="1" x14ac:dyDescent="0.25">
      <c r="A86" s="49" t="s">
        <v>5</v>
      </c>
      <c r="B86" s="401" t="s">
        <v>137</v>
      </c>
      <c r="C86" s="401"/>
      <c r="D86" s="78">
        <v>0</v>
      </c>
      <c r="E86" s="62">
        <v>0</v>
      </c>
    </row>
    <row r="87" spans="1:5" s="30" customFormat="1" ht="15.75" customHeight="1" x14ac:dyDescent="0.25">
      <c r="A87" s="367" t="s">
        <v>156</v>
      </c>
      <c r="B87" s="368"/>
      <c r="C87" s="368"/>
      <c r="D87" s="66">
        <f>SUM(D83:D86)</f>
        <v>1003.59</v>
      </c>
      <c r="E87" s="61">
        <f>SUM(E83:E86)</f>
        <v>1003.59</v>
      </c>
    </row>
    <row r="88" spans="1:5" s="30" customFormat="1" ht="23.25" customHeight="1" x14ac:dyDescent="0.25">
      <c r="A88" s="365" t="s">
        <v>37</v>
      </c>
      <c r="B88" s="366"/>
      <c r="C88" s="366"/>
      <c r="D88" s="161">
        <f>D87+D80+D60+D52+D24</f>
        <v>36084.11</v>
      </c>
      <c r="E88" s="207">
        <f>E87+E80+E60+E52+E24</f>
        <v>36084.11</v>
      </c>
    </row>
    <row r="89" spans="1:5" s="30" customFormat="1" ht="19.5" customHeight="1" x14ac:dyDescent="0.25">
      <c r="A89" s="370" t="s">
        <v>165</v>
      </c>
      <c r="B89" s="371"/>
      <c r="C89" s="371"/>
      <c r="D89" s="371"/>
      <c r="E89" s="412"/>
    </row>
    <row r="90" spans="1:5" s="30" customFormat="1" x14ac:dyDescent="0.25">
      <c r="A90" s="273">
        <v>5</v>
      </c>
      <c r="B90" s="354" t="s">
        <v>38</v>
      </c>
      <c r="C90" s="382"/>
      <c r="D90" s="69" t="s">
        <v>10</v>
      </c>
      <c r="E90" s="173" t="s">
        <v>10</v>
      </c>
    </row>
    <row r="91" spans="1:5" s="30" customFormat="1" x14ac:dyDescent="0.25">
      <c r="A91" s="273" t="s">
        <v>0</v>
      </c>
      <c r="B91" s="50" t="s">
        <v>39</v>
      </c>
      <c r="C91" s="55">
        <v>0.03</v>
      </c>
      <c r="D91" s="78">
        <f>D88*C91</f>
        <v>1082.52</v>
      </c>
      <c r="E91" s="62">
        <f>E88*C91</f>
        <v>1082.52</v>
      </c>
    </row>
    <row r="92" spans="1:5" s="30" customFormat="1" x14ac:dyDescent="0.25">
      <c r="A92" s="273" t="s">
        <v>2</v>
      </c>
      <c r="B92" s="50" t="s">
        <v>40</v>
      </c>
      <c r="C92" s="55">
        <v>6.7900000000000002E-2</v>
      </c>
      <c r="D92" s="78">
        <f>C92*(D88+D91)</f>
        <v>2523.61</v>
      </c>
      <c r="E92" s="62">
        <f>C92*(E88+E91)</f>
        <v>2523.61</v>
      </c>
    </row>
    <row r="93" spans="1:5" s="30" customFormat="1" ht="31.5" x14ac:dyDescent="0.25">
      <c r="A93" s="396" t="s">
        <v>3</v>
      </c>
      <c r="B93" s="50" t="s">
        <v>50</v>
      </c>
      <c r="C93" s="55">
        <f>1-C101</f>
        <v>0.85750000000000004</v>
      </c>
      <c r="D93" s="78">
        <f>D88+D91+D92</f>
        <v>39690.239999999998</v>
      </c>
      <c r="E93" s="62">
        <f>E88+E91+E92</f>
        <v>39690.239999999998</v>
      </c>
    </row>
    <row r="94" spans="1:5" s="30" customFormat="1" x14ac:dyDescent="0.25">
      <c r="A94" s="396"/>
      <c r="B94" s="276" t="s">
        <v>41</v>
      </c>
      <c r="C94" s="89"/>
      <c r="D94" s="162">
        <f>+D93/C93</f>
        <v>46285.99</v>
      </c>
      <c r="E94" s="208">
        <f>+E93/C93</f>
        <v>46285.99</v>
      </c>
    </row>
    <row r="95" spans="1:5" s="30" customFormat="1" x14ac:dyDescent="0.25">
      <c r="A95" s="396"/>
      <c r="B95" s="276" t="s">
        <v>42</v>
      </c>
      <c r="C95" s="68"/>
      <c r="D95" s="78"/>
      <c r="E95" s="62"/>
    </row>
    <row r="96" spans="1:5" s="30" customFormat="1" x14ac:dyDescent="0.25">
      <c r="A96" s="396"/>
      <c r="B96" s="50" t="s">
        <v>130</v>
      </c>
      <c r="C96" s="55">
        <v>1.6500000000000001E-2</v>
      </c>
      <c r="D96" s="78">
        <f>+D94*C96</f>
        <v>763.72</v>
      </c>
      <c r="E96" s="62">
        <f>+E94*C96</f>
        <v>763.72</v>
      </c>
    </row>
    <row r="97" spans="1:5" s="30" customFormat="1" x14ac:dyDescent="0.25">
      <c r="A97" s="396"/>
      <c r="B97" s="50" t="s">
        <v>131</v>
      </c>
      <c r="C97" s="55">
        <v>7.5999999999999998E-2</v>
      </c>
      <c r="D97" s="78">
        <f>+D94*C97</f>
        <v>3517.74</v>
      </c>
      <c r="E97" s="62">
        <f>+E94*C97</f>
        <v>3517.74</v>
      </c>
    </row>
    <row r="98" spans="1:5" s="30" customFormat="1" x14ac:dyDescent="0.25">
      <c r="A98" s="396"/>
      <c r="B98" s="51" t="s">
        <v>43</v>
      </c>
      <c r="C98" s="89"/>
      <c r="D98" s="78"/>
      <c r="E98" s="62"/>
    </row>
    <row r="99" spans="1:5" s="30" customFormat="1" x14ac:dyDescent="0.25">
      <c r="A99" s="396"/>
      <c r="B99" s="51" t="s">
        <v>44</v>
      </c>
      <c r="C99" s="95"/>
      <c r="D99" s="78"/>
      <c r="E99" s="62"/>
    </row>
    <row r="100" spans="1:5" s="30" customFormat="1" x14ac:dyDescent="0.25">
      <c r="A100" s="396"/>
      <c r="B100" s="50" t="s">
        <v>142</v>
      </c>
      <c r="C100" s="55">
        <v>0.05</v>
      </c>
      <c r="D100" s="78">
        <f>+D94*C100</f>
        <v>2314.3000000000002</v>
      </c>
      <c r="E100" s="62">
        <f>+E94*C100</f>
        <v>2314.3000000000002</v>
      </c>
    </row>
    <row r="101" spans="1:5" s="30" customFormat="1" x14ac:dyDescent="0.25">
      <c r="A101" s="273"/>
      <c r="B101" s="99" t="s">
        <v>45</v>
      </c>
      <c r="C101" s="100">
        <f>SUM(C96:C100)</f>
        <v>0.14249999999999999</v>
      </c>
      <c r="D101" s="101">
        <f>SUM(D96:D100)</f>
        <v>6595.76</v>
      </c>
      <c r="E101" s="197">
        <f>SUM(E96:E100)</f>
        <v>6595.76</v>
      </c>
    </row>
    <row r="102" spans="1:5" s="30" customFormat="1" ht="15.75" customHeight="1" x14ac:dyDescent="0.25">
      <c r="A102" s="358" t="s">
        <v>46</v>
      </c>
      <c r="B102" s="359"/>
      <c r="C102" s="359"/>
      <c r="D102" s="80">
        <f>+D91+D92+D101</f>
        <v>10201.89</v>
      </c>
      <c r="E102" s="63">
        <f>+E91+E92+E101</f>
        <v>10201.89</v>
      </c>
    </row>
    <row r="103" spans="1:5" s="30" customFormat="1" ht="15.75" customHeight="1" x14ac:dyDescent="0.25">
      <c r="A103" s="397" t="s">
        <v>47</v>
      </c>
      <c r="B103" s="398"/>
      <c r="C103" s="398"/>
      <c r="D103" s="71" t="s">
        <v>10</v>
      </c>
      <c r="E103" s="198" t="s">
        <v>10</v>
      </c>
    </row>
    <row r="104" spans="1:5" s="30" customFormat="1" x14ac:dyDescent="0.25">
      <c r="A104" s="49" t="s">
        <v>0</v>
      </c>
      <c r="B104" s="399" t="s">
        <v>48</v>
      </c>
      <c r="C104" s="399"/>
      <c r="D104" s="78">
        <f>D24</f>
        <v>19987.52</v>
      </c>
      <c r="E104" s="62">
        <f>E24</f>
        <v>19987.52</v>
      </c>
    </row>
    <row r="105" spans="1:5" s="30" customFormat="1" x14ac:dyDescent="0.25">
      <c r="A105" s="49" t="s">
        <v>2</v>
      </c>
      <c r="B105" s="399" t="s">
        <v>159</v>
      </c>
      <c r="C105" s="399"/>
      <c r="D105" s="78">
        <f>D52</f>
        <v>12670.88</v>
      </c>
      <c r="E105" s="62">
        <f>E52</f>
        <v>12670.88</v>
      </c>
    </row>
    <row r="106" spans="1:5" s="30" customFormat="1" x14ac:dyDescent="0.25">
      <c r="A106" s="49" t="s">
        <v>3</v>
      </c>
      <c r="B106" s="399" t="s">
        <v>157</v>
      </c>
      <c r="C106" s="399"/>
      <c r="D106" s="78">
        <f>D60</f>
        <v>1429.11</v>
      </c>
      <c r="E106" s="62">
        <f>E60</f>
        <v>1429.11</v>
      </c>
    </row>
    <row r="107" spans="1:5" s="30" customFormat="1" x14ac:dyDescent="0.25">
      <c r="A107" s="49" t="s">
        <v>5</v>
      </c>
      <c r="B107" s="399" t="s">
        <v>150</v>
      </c>
      <c r="C107" s="399"/>
      <c r="D107" s="78">
        <f>D80</f>
        <v>993.01</v>
      </c>
      <c r="E107" s="62">
        <f>E80</f>
        <v>993.01</v>
      </c>
    </row>
    <row r="108" spans="1:5" s="30" customFormat="1" x14ac:dyDescent="0.25">
      <c r="A108" s="49" t="s">
        <v>20</v>
      </c>
      <c r="B108" s="399" t="s">
        <v>158</v>
      </c>
      <c r="C108" s="399"/>
      <c r="D108" s="78">
        <f>D87</f>
        <v>1003.59</v>
      </c>
      <c r="E108" s="62">
        <f>E87</f>
        <v>1003.59</v>
      </c>
    </row>
    <row r="109" spans="1:5" s="30" customFormat="1" ht="15.75" customHeight="1" x14ac:dyDescent="0.25">
      <c r="A109" s="396" t="s">
        <v>160</v>
      </c>
      <c r="B109" s="400"/>
      <c r="C109" s="400"/>
      <c r="D109" s="101">
        <f>SUM(D104:D108)</f>
        <v>36084.11</v>
      </c>
      <c r="E109" s="197">
        <f>SUM(E104:E108)</f>
        <v>36084.11</v>
      </c>
    </row>
    <row r="110" spans="1:5" s="30" customFormat="1" x14ac:dyDescent="0.25">
      <c r="A110" s="273" t="s">
        <v>20</v>
      </c>
      <c r="B110" s="399" t="s">
        <v>161</v>
      </c>
      <c r="C110" s="399"/>
      <c r="D110" s="78">
        <f>+D102</f>
        <v>10201.89</v>
      </c>
      <c r="E110" s="62">
        <f>+E102</f>
        <v>10201.89</v>
      </c>
    </row>
    <row r="111" spans="1:5" s="30" customFormat="1" ht="16.5" customHeight="1" thickBot="1" x14ac:dyDescent="0.3">
      <c r="A111" s="393" t="s">
        <v>49</v>
      </c>
      <c r="B111" s="394"/>
      <c r="C111" s="394"/>
      <c r="D111" s="165">
        <f>+D109+D110</f>
        <v>46286</v>
      </c>
      <c r="E111" s="210">
        <f>+E109+E110</f>
        <v>46286</v>
      </c>
    </row>
    <row r="112" spans="1:5" ht="16.5" thickBot="1" x14ac:dyDescent="0.3">
      <c r="A112" s="458" t="s">
        <v>234</v>
      </c>
      <c r="B112" s="459"/>
      <c r="C112" s="459"/>
      <c r="D112" s="459"/>
      <c r="E112" s="460"/>
    </row>
    <row r="113" spans="1:5" ht="15.75" customHeight="1" x14ac:dyDescent="0.25">
      <c r="A113" s="449" t="s">
        <v>297</v>
      </c>
      <c r="B113" s="450"/>
      <c r="C113" s="450"/>
      <c r="D113" s="450"/>
      <c r="E113" s="451"/>
    </row>
    <row r="114" spans="1:5" x14ac:dyDescent="0.25">
      <c r="A114" s="452"/>
      <c r="B114" s="453"/>
      <c r="C114" s="453"/>
      <c r="D114" s="453"/>
      <c r="E114" s="454"/>
    </row>
    <row r="115" spans="1:5" x14ac:dyDescent="0.25">
      <c r="A115" s="452"/>
      <c r="B115" s="453"/>
      <c r="C115" s="453"/>
      <c r="D115" s="453"/>
      <c r="E115" s="454"/>
    </row>
    <row r="116" spans="1:5" x14ac:dyDescent="0.25">
      <c r="A116" s="452"/>
      <c r="B116" s="453"/>
      <c r="C116" s="453"/>
      <c r="D116" s="453"/>
      <c r="E116" s="454"/>
    </row>
    <row r="117" spans="1:5" x14ac:dyDescent="0.25">
      <c r="A117" s="452"/>
      <c r="B117" s="453"/>
      <c r="C117" s="453"/>
      <c r="D117" s="453"/>
      <c r="E117" s="454"/>
    </row>
    <row r="118" spans="1:5" x14ac:dyDescent="0.25">
      <c r="A118" s="452"/>
      <c r="B118" s="453"/>
      <c r="C118" s="453"/>
      <c r="D118" s="453"/>
      <c r="E118" s="454"/>
    </row>
    <row r="119" spans="1:5" x14ac:dyDescent="0.25">
      <c r="A119" s="452"/>
      <c r="B119" s="453"/>
      <c r="C119" s="453"/>
      <c r="D119" s="453"/>
      <c r="E119" s="454"/>
    </row>
    <row r="120" spans="1:5" x14ac:dyDescent="0.25">
      <c r="A120" s="452"/>
      <c r="B120" s="453"/>
      <c r="C120" s="453"/>
      <c r="D120" s="453"/>
      <c r="E120" s="454"/>
    </row>
    <row r="121" spans="1:5" x14ac:dyDescent="0.25">
      <c r="A121" s="452"/>
      <c r="B121" s="453"/>
      <c r="C121" s="453"/>
      <c r="D121" s="453"/>
      <c r="E121" s="454"/>
    </row>
    <row r="122" spans="1:5" ht="16.5" thickBot="1" x14ac:dyDescent="0.3">
      <c r="A122" s="455"/>
      <c r="B122" s="456"/>
      <c r="C122" s="456"/>
      <c r="D122" s="456"/>
      <c r="E122" s="457"/>
    </row>
    <row r="123" spans="1:5" x14ac:dyDescent="0.25">
      <c r="B123" s="28"/>
    </row>
  </sheetData>
  <mergeCells count="64">
    <mergeCell ref="B106:C106"/>
    <mergeCell ref="B107:C107"/>
    <mergeCell ref="B108:C108"/>
    <mergeCell ref="A109:C109"/>
    <mergeCell ref="B110:C110"/>
    <mergeCell ref="A113:E122"/>
    <mergeCell ref="B104:C104"/>
    <mergeCell ref="B83:C83"/>
    <mergeCell ref="B84:C84"/>
    <mergeCell ref="B85:C85"/>
    <mergeCell ref="B86:C86"/>
    <mergeCell ref="A87:C87"/>
    <mergeCell ref="A88:C88"/>
    <mergeCell ref="A89:E89"/>
    <mergeCell ref="B90:C90"/>
    <mergeCell ref="A93:A100"/>
    <mergeCell ref="A102:C102"/>
    <mergeCell ref="A103:C103"/>
    <mergeCell ref="A111:C111"/>
    <mergeCell ref="A112:E112"/>
    <mergeCell ref="B105:C105"/>
    <mergeCell ref="B82:C82"/>
    <mergeCell ref="A61:E61"/>
    <mergeCell ref="B62:C62"/>
    <mergeCell ref="A69:B69"/>
    <mergeCell ref="B71:C71"/>
    <mergeCell ref="A73:B73"/>
    <mergeCell ref="A74:E74"/>
    <mergeCell ref="A75:E75"/>
    <mergeCell ref="B76:C76"/>
    <mergeCell ref="A79:B79"/>
    <mergeCell ref="A80:C80"/>
    <mergeCell ref="A81:E81"/>
    <mergeCell ref="A60:C60"/>
    <mergeCell ref="B26:C26"/>
    <mergeCell ref="A29:B29"/>
    <mergeCell ref="A30:E30"/>
    <mergeCell ref="B31:C31"/>
    <mergeCell ref="A40:B40"/>
    <mergeCell ref="B41:C41"/>
    <mergeCell ref="A47:C47"/>
    <mergeCell ref="A48:E48"/>
    <mergeCell ref="A52:C52"/>
    <mergeCell ref="A53:E53"/>
    <mergeCell ref="B54:C54"/>
    <mergeCell ref="A25:C25"/>
    <mergeCell ref="C6:E6"/>
    <mergeCell ref="A7:E7"/>
    <mergeCell ref="A8:E8"/>
    <mergeCell ref="A9:E9"/>
    <mergeCell ref="A10:C10"/>
    <mergeCell ref="C11:E11"/>
    <mergeCell ref="C13:E13"/>
    <mergeCell ref="C14:E14"/>
    <mergeCell ref="A15:C15"/>
    <mergeCell ref="B16:C16"/>
    <mergeCell ref="A24:C24"/>
    <mergeCell ref="C12:E12"/>
    <mergeCell ref="D10:E10"/>
    <mergeCell ref="C5:E5"/>
    <mergeCell ref="A1:E1"/>
    <mergeCell ref="A2:E2"/>
    <mergeCell ref="C3:E3"/>
    <mergeCell ref="C4:E4"/>
  </mergeCells>
  <hyperlinks>
    <hyperlink ref="B39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4" orientation="portrait"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view="pageBreakPreview" zoomScaleNormal="100" zoomScaleSheetLayoutView="100" workbookViewId="0">
      <selection activeCell="A6" sqref="A6"/>
    </sheetView>
  </sheetViews>
  <sheetFormatPr defaultRowHeight="15" x14ac:dyDescent="0.25"/>
  <cols>
    <col min="1" max="1" width="8.7109375" customWidth="1"/>
    <col min="2" max="2" width="30.7109375" customWidth="1"/>
    <col min="3" max="8" width="15.7109375" customWidth="1"/>
  </cols>
  <sheetData>
    <row r="1" spans="1:8" ht="15.75" customHeight="1" x14ac:dyDescent="0.25">
      <c r="A1" s="461" t="s">
        <v>230</v>
      </c>
      <c r="B1" s="462"/>
      <c r="C1" s="462"/>
      <c r="D1" s="462"/>
      <c r="E1" s="462"/>
      <c r="F1" s="462"/>
      <c r="G1" s="462"/>
      <c r="H1" s="463"/>
    </row>
    <row r="2" spans="1:8" ht="15.75" customHeight="1" x14ac:dyDescent="0.25">
      <c r="A2" s="116" t="s">
        <v>166</v>
      </c>
      <c r="B2" s="114" t="s">
        <v>186</v>
      </c>
      <c r="C2" s="114" t="s">
        <v>276</v>
      </c>
      <c r="D2" s="114" t="s">
        <v>168</v>
      </c>
      <c r="E2" s="114" t="s">
        <v>168</v>
      </c>
      <c r="F2" s="114" t="s">
        <v>169</v>
      </c>
      <c r="G2" s="114" t="s">
        <v>226</v>
      </c>
      <c r="H2" s="117" t="s">
        <v>172</v>
      </c>
    </row>
    <row r="3" spans="1:8" ht="15.75" customHeight="1" x14ac:dyDescent="0.25">
      <c r="A3" s="242">
        <v>1</v>
      </c>
      <c r="B3" s="267"/>
      <c r="C3" s="234" t="s">
        <v>277</v>
      </c>
      <c r="D3" s="237">
        <v>2</v>
      </c>
      <c r="E3" s="234">
        <f t="shared" ref="E3" si="0">D3*2</f>
        <v>4</v>
      </c>
      <c r="F3" s="235">
        <v>47.92</v>
      </c>
      <c r="G3" s="235">
        <f>F3*E3</f>
        <v>191.68</v>
      </c>
      <c r="H3" s="243">
        <f>G3/12</f>
        <v>15.97</v>
      </c>
    </row>
    <row r="4" spans="1:8" ht="15.75" customHeight="1" x14ac:dyDescent="0.25">
      <c r="A4" s="242">
        <v>2</v>
      </c>
      <c r="B4" s="236" t="s">
        <v>278</v>
      </c>
      <c r="C4" s="234" t="s">
        <v>277</v>
      </c>
      <c r="D4" s="237">
        <v>2</v>
      </c>
      <c r="E4" s="234">
        <f t="shared" ref="E4:E6" si="1">D4*2</f>
        <v>4</v>
      </c>
      <c r="F4" s="235">
        <v>36.46</v>
      </c>
      <c r="G4" s="235">
        <f>F4*E4</f>
        <v>145.84</v>
      </c>
      <c r="H4" s="243">
        <f>G4/12</f>
        <v>12.15</v>
      </c>
    </row>
    <row r="5" spans="1:8" ht="15.75" customHeight="1" x14ac:dyDescent="0.25">
      <c r="A5" s="242">
        <v>3</v>
      </c>
      <c r="B5" s="236" t="s">
        <v>279</v>
      </c>
      <c r="C5" s="234" t="s">
        <v>277</v>
      </c>
      <c r="D5" s="237">
        <v>1</v>
      </c>
      <c r="E5" s="234">
        <f t="shared" si="1"/>
        <v>2</v>
      </c>
      <c r="F5" s="235">
        <v>2.98</v>
      </c>
      <c r="G5" s="235">
        <f>F5*E5</f>
        <v>5.96</v>
      </c>
      <c r="H5" s="243">
        <f>G5/12</f>
        <v>0.5</v>
      </c>
    </row>
    <row r="6" spans="1:8" ht="15.75" customHeight="1" thickBot="1" x14ac:dyDescent="0.3">
      <c r="A6" s="244">
        <v>4</v>
      </c>
      <c r="B6" s="238" t="s">
        <v>280</v>
      </c>
      <c r="C6" s="239" t="s">
        <v>277</v>
      </c>
      <c r="D6" s="240">
        <v>1</v>
      </c>
      <c r="E6" s="239">
        <f t="shared" si="1"/>
        <v>2</v>
      </c>
      <c r="F6" s="241">
        <v>48</v>
      </c>
      <c r="G6" s="241">
        <f>F6*E6</f>
        <v>96</v>
      </c>
      <c r="H6" s="245">
        <f>G6/12</f>
        <v>8</v>
      </c>
    </row>
    <row r="7" spans="1:8" ht="15.75" customHeight="1" thickBot="1" x14ac:dyDescent="0.3">
      <c r="A7" s="464" t="s">
        <v>231</v>
      </c>
      <c r="B7" s="465"/>
      <c r="C7" s="465"/>
      <c r="D7" s="465"/>
      <c r="E7" s="465"/>
      <c r="F7" s="466"/>
      <c r="G7" s="466"/>
      <c r="H7" s="122">
        <f>SUM(H3:H6)</f>
        <v>36.619999999999997</v>
      </c>
    </row>
    <row r="8" spans="1:8" ht="15.75" customHeight="1" thickBot="1" x14ac:dyDescent="0.3">
      <c r="A8" s="467" t="s">
        <v>254</v>
      </c>
      <c r="B8" s="312"/>
      <c r="C8" s="312"/>
      <c r="D8" s="312"/>
      <c r="E8" s="312"/>
      <c r="F8" s="312"/>
      <c r="G8" s="312"/>
      <c r="H8" s="313"/>
    </row>
    <row r="9" spans="1:8" ht="15" customHeight="1" x14ac:dyDescent="0.25">
      <c r="A9" s="468" t="s">
        <v>284</v>
      </c>
      <c r="B9" s="469"/>
      <c r="C9" s="469"/>
      <c r="D9" s="469"/>
      <c r="E9" s="469"/>
      <c r="F9" s="469"/>
      <c r="G9" s="469"/>
      <c r="H9" s="470"/>
    </row>
    <row r="10" spans="1:8" x14ac:dyDescent="0.25">
      <c r="A10" s="471"/>
      <c r="B10" s="472"/>
      <c r="C10" s="472"/>
      <c r="D10" s="472"/>
      <c r="E10" s="472"/>
      <c r="F10" s="472"/>
      <c r="G10" s="472"/>
      <c r="H10" s="473"/>
    </row>
    <row r="11" spans="1:8" x14ac:dyDescent="0.25">
      <c r="A11" s="471"/>
      <c r="B11" s="472"/>
      <c r="C11" s="472"/>
      <c r="D11" s="472"/>
      <c r="E11" s="472"/>
      <c r="F11" s="472"/>
      <c r="G11" s="472"/>
      <c r="H11" s="473"/>
    </row>
    <row r="12" spans="1:8" x14ac:dyDescent="0.25">
      <c r="A12" s="471"/>
      <c r="B12" s="472"/>
      <c r="C12" s="472"/>
      <c r="D12" s="472"/>
      <c r="E12" s="472"/>
      <c r="F12" s="472"/>
      <c r="G12" s="472"/>
      <c r="H12" s="473"/>
    </row>
    <row r="13" spans="1:8" x14ac:dyDescent="0.25">
      <c r="A13" s="471"/>
      <c r="B13" s="472"/>
      <c r="C13" s="472"/>
      <c r="D13" s="472"/>
      <c r="E13" s="472"/>
      <c r="F13" s="472"/>
      <c r="G13" s="472"/>
      <c r="H13" s="473"/>
    </row>
    <row r="14" spans="1:8" x14ac:dyDescent="0.25">
      <c r="A14" s="471"/>
      <c r="B14" s="472"/>
      <c r="C14" s="472"/>
      <c r="D14" s="472"/>
      <c r="E14" s="472"/>
      <c r="F14" s="472"/>
      <c r="G14" s="472"/>
      <c r="H14" s="473"/>
    </row>
    <row r="15" spans="1:8" x14ac:dyDescent="0.25">
      <c r="A15" s="471"/>
      <c r="B15" s="472"/>
      <c r="C15" s="472"/>
      <c r="D15" s="472"/>
      <c r="E15" s="472"/>
      <c r="F15" s="472"/>
      <c r="G15" s="472"/>
      <c r="H15" s="473"/>
    </row>
    <row r="16" spans="1:8" x14ac:dyDescent="0.25">
      <c r="A16" s="471"/>
      <c r="B16" s="472"/>
      <c r="C16" s="472"/>
      <c r="D16" s="472"/>
      <c r="E16" s="472"/>
      <c r="F16" s="472"/>
      <c r="G16" s="472"/>
      <c r="H16" s="473"/>
    </row>
    <row r="17" spans="1:8" x14ac:dyDescent="0.25">
      <c r="A17" s="471"/>
      <c r="B17" s="472"/>
      <c r="C17" s="472"/>
      <c r="D17" s="472"/>
      <c r="E17" s="472"/>
      <c r="F17" s="472"/>
      <c r="G17" s="472"/>
      <c r="H17" s="473"/>
    </row>
    <row r="18" spans="1:8" x14ac:dyDescent="0.25">
      <c r="A18" s="471"/>
      <c r="B18" s="472"/>
      <c r="C18" s="472"/>
      <c r="D18" s="472"/>
      <c r="E18" s="472"/>
      <c r="F18" s="472"/>
      <c r="G18" s="472"/>
      <c r="H18" s="473"/>
    </row>
    <row r="19" spans="1:8" x14ac:dyDescent="0.25">
      <c r="A19" s="471"/>
      <c r="B19" s="472"/>
      <c r="C19" s="472"/>
      <c r="D19" s="472"/>
      <c r="E19" s="472"/>
      <c r="F19" s="472"/>
      <c r="G19" s="472"/>
      <c r="H19" s="473"/>
    </row>
    <row r="20" spans="1:8" x14ac:dyDescent="0.25">
      <c r="A20" s="471"/>
      <c r="B20" s="472"/>
      <c r="C20" s="472"/>
      <c r="D20" s="472"/>
      <c r="E20" s="472"/>
      <c r="F20" s="472"/>
      <c r="G20" s="472"/>
      <c r="H20" s="473"/>
    </row>
    <row r="21" spans="1:8" x14ac:dyDescent="0.25">
      <c r="A21" s="471"/>
      <c r="B21" s="472"/>
      <c r="C21" s="472"/>
      <c r="D21" s="472"/>
      <c r="E21" s="472"/>
      <c r="F21" s="472"/>
      <c r="G21" s="472"/>
      <c r="H21" s="473"/>
    </row>
    <row r="22" spans="1:8" ht="15.75" thickBot="1" x14ac:dyDescent="0.3">
      <c r="A22" s="474"/>
      <c r="B22" s="475"/>
      <c r="C22" s="475"/>
      <c r="D22" s="475"/>
      <c r="E22" s="475"/>
      <c r="F22" s="475"/>
      <c r="G22" s="475"/>
      <c r="H22" s="476"/>
    </row>
  </sheetData>
  <mergeCells count="4">
    <mergeCell ref="A1:H1"/>
    <mergeCell ref="A7:G7"/>
    <mergeCell ref="A8:H8"/>
    <mergeCell ref="A9:H22"/>
  </mergeCells>
  <pageMargins left="0.511811024" right="0.511811024" top="0.78740157499999996" bottom="0.78740157499999996" header="0.31496062000000002" footer="0.31496062000000002"/>
  <pageSetup paperSize="9" scale="6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abSelected="1" view="pageBreakPreview" topLeftCell="A14" zoomScaleNormal="100" zoomScaleSheetLayoutView="100" workbookViewId="0">
      <selection activeCell="I21" sqref="I21"/>
    </sheetView>
  </sheetViews>
  <sheetFormatPr defaultRowHeight="15" x14ac:dyDescent="0.25"/>
  <cols>
    <col min="1" max="1" width="9.85546875" bestFit="1" customWidth="1"/>
    <col min="2" max="2" width="100.7109375" customWidth="1"/>
    <col min="3" max="8" width="12.7109375" customWidth="1"/>
  </cols>
  <sheetData>
    <row r="1" spans="1:8" ht="15" customHeight="1" thickBot="1" x14ac:dyDescent="0.3">
      <c r="A1" s="489" t="s">
        <v>244</v>
      </c>
      <c r="B1" s="490"/>
      <c r="C1" s="490"/>
      <c r="D1" s="490"/>
      <c r="E1" s="490"/>
      <c r="F1" s="490"/>
      <c r="G1" s="490"/>
      <c r="H1" s="491"/>
    </row>
    <row r="2" spans="1:8" ht="15" customHeight="1" thickBot="1" x14ac:dyDescent="0.3">
      <c r="A2" s="492" t="s">
        <v>245</v>
      </c>
      <c r="B2" s="493"/>
      <c r="C2" s="493"/>
      <c r="D2" s="493"/>
      <c r="E2" s="493"/>
      <c r="F2" s="493"/>
      <c r="G2" s="493"/>
      <c r="H2" s="494"/>
    </row>
    <row r="3" spans="1:8" ht="30" customHeight="1" thickBot="1" x14ac:dyDescent="0.3">
      <c r="A3" s="299" t="s">
        <v>166</v>
      </c>
      <c r="B3" s="300" t="s">
        <v>246</v>
      </c>
      <c r="C3" s="300" t="s">
        <v>167</v>
      </c>
      <c r="D3" s="300" t="s">
        <v>300</v>
      </c>
      <c r="E3" s="300" t="s">
        <v>299</v>
      </c>
      <c r="F3" s="300" t="s">
        <v>169</v>
      </c>
      <c r="G3" s="300" t="s">
        <v>226</v>
      </c>
      <c r="H3" s="301" t="s">
        <v>172</v>
      </c>
    </row>
    <row r="4" spans="1:8" ht="249.95" customHeight="1" thickBot="1" x14ac:dyDescent="0.3">
      <c r="A4" s="292">
        <v>1</v>
      </c>
      <c r="B4" s="293" t="s">
        <v>281</v>
      </c>
      <c r="C4" s="294" t="s">
        <v>167</v>
      </c>
      <c r="D4" s="295">
        <v>1</v>
      </c>
      <c r="E4" s="296">
        <f>D4</f>
        <v>1</v>
      </c>
      <c r="F4" s="297">
        <f>(Equipamentos!F7*1%)</f>
        <v>3600</v>
      </c>
      <c r="G4" s="297">
        <f>F4*E4</f>
        <v>3600</v>
      </c>
      <c r="H4" s="298">
        <f>G4/12</f>
        <v>300</v>
      </c>
    </row>
    <row r="5" spans="1:8" ht="30" customHeight="1" thickBot="1" x14ac:dyDescent="0.3">
      <c r="A5" s="299" t="s">
        <v>166</v>
      </c>
      <c r="B5" s="300" t="s">
        <v>246</v>
      </c>
      <c r="C5" s="300" t="s">
        <v>167</v>
      </c>
      <c r="D5" s="300" t="s">
        <v>300</v>
      </c>
      <c r="E5" s="300" t="s">
        <v>299</v>
      </c>
      <c r="F5" s="300" t="s">
        <v>301</v>
      </c>
      <c r="G5" s="300" t="s">
        <v>226</v>
      </c>
      <c r="H5" s="301" t="s">
        <v>172</v>
      </c>
    </row>
    <row r="6" spans="1:8" ht="30" customHeight="1" x14ac:dyDescent="0.25">
      <c r="A6" s="302">
        <v>2</v>
      </c>
      <c r="B6" s="303" t="s">
        <v>302</v>
      </c>
      <c r="C6" s="295" t="s">
        <v>303</v>
      </c>
      <c r="D6" s="304">
        <v>3.5</v>
      </c>
      <c r="E6" s="304">
        <f>D6*12</f>
        <v>42</v>
      </c>
      <c r="F6" s="305">
        <v>27.66</v>
      </c>
      <c r="G6" s="305">
        <f>F6*E6</f>
        <v>1161.72</v>
      </c>
      <c r="H6" s="306">
        <f>G6/12</f>
        <v>96.81</v>
      </c>
    </row>
    <row r="7" spans="1:8" ht="30" customHeight="1" thickBot="1" x14ac:dyDescent="0.3">
      <c r="A7" s="307">
        <v>3</v>
      </c>
      <c r="B7" s="308" t="s">
        <v>304</v>
      </c>
      <c r="C7" s="176" t="s">
        <v>303</v>
      </c>
      <c r="D7" s="291">
        <v>3.5</v>
      </c>
      <c r="E7" s="291">
        <f>D7*12</f>
        <v>42</v>
      </c>
      <c r="F7" s="177">
        <v>34.79</v>
      </c>
      <c r="G7" s="177">
        <f>F7*E7</f>
        <v>1461.18</v>
      </c>
      <c r="H7" s="223">
        <f>G7/12</f>
        <v>121.77</v>
      </c>
    </row>
    <row r="8" spans="1:8" ht="15" customHeight="1" thickBot="1" x14ac:dyDescent="0.3">
      <c r="A8" s="495" t="s">
        <v>256</v>
      </c>
      <c r="B8" s="496"/>
      <c r="C8" s="496"/>
      <c r="D8" s="496"/>
      <c r="E8" s="496"/>
      <c r="F8" s="496"/>
      <c r="G8" s="497"/>
      <c r="H8" s="228">
        <f>SUM(H4:H7)</f>
        <v>518.58000000000004</v>
      </c>
    </row>
    <row r="9" spans="1:8" ht="15" customHeight="1" thickBot="1" x14ac:dyDescent="0.3">
      <c r="A9" s="498"/>
      <c r="B9" s="499"/>
      <c r="C9" s="499"/>
      <c r="D9" s="499"/>
      <c r="E9" s="499"/>
      <c r="F9" s="499"/>
      <c r="G9" s="499"/>
      <c r="H9" s="500"/>
    </row>
    <row r="10" spans="1:8" ht="15" customHeight="1" thickBot="1" x14ac:dyDescent="0.3">
      <c r="A10" s="492" t="s">
        <v>247</v>
      </c>
      <c r="B10" s="493"/>
      <c r="C10" s="493"/>
      <c r="D10" s="493"/>
      <c r="E10" s="493"/>
      <c r="F10" s="493"/>
      <c r="G10" s="493"/>
      <c r="H10" s="494"/>
    </row>
    <row r="11" spans="1:8" ht="30" customHeight="1" thickBot="1" x14ac:dyDescent="0.3">
      <c r="A11" s="299" t="s">
        <v>166</v>
      </c>
      <c r="B11" s="300" t="s">
        <v>246</v>
      </c>
      <c r="C11" s="300" t="s">
        <v>167</v>
      </c>
      <c r="D11" s="300" t="s">
        <v>300</v>
      </c>
      <c r="E11" s="300" t="s">
        <v>299</v>
      </c>
      <c r="F11" s="300" t="s">
        <v>169</v>
      </c>
      <c r="G11" s="300" t="s">
        <v>226</v>
      </c>
      <c r="H11" s="301" t="s">
        <v>172</v>
      </c>
    </row>
    <row r="12" spans="1:8" ht="350.1" customHeight="1" thickBot="1" x14ac:dyDescent="0.3">
      <c r="A12" s="213">
        <v>1</v>
      </c>
      <c r="B12" s="214" t="s">
        <v>282</v>
      </c>
      <c r="C12" s="176" t="s">
        <v>167</v>
      </c>
      <c r="D12" s="295">
        <v>1</v>
      </c>
      <c r="E12" s="296">
        <f>D12</f>
        <v>1</v>
      </c>
      <c r="F12" s="177">
        <f>(Equipamentos!G16*1%)</f>
        <v>3795</v>
      </c>
      <c r="G12" s="177">
        <f>F12*E12</f>
        <v>3795</v>
      </c>
      <c r="H12" s="178">
        <f>G12/12</f>
        <v>316.25</v>
      </c>
    </row>
    <row r="13" spans="1:8" ht="30" customHeight="1" thickBot="1" x14ac:dyDescent="0.3">
      <c r="A13" s="299" t="s">
        <v>166</v>
      </c>
      <c r="B13" s="300" t="s">
        <v>246</v>
      </c>
      <c r="C13" s="300" t="s">
        <v>167</v>
      </c>
      <c r="D13" s="300" t="s">
        <v>300</v>
      </c>
      <c r="E13" s="300" t="s">
        <v>299</v>
      </c>
      <c r="F13" s="300" t="s">
        <v>301</v>
      </c>
      <c r="G13" s="300" t="s">
        <v>226</v>
      </c>
      <c r="H13" s="301" t="s">
        <v>172</v>
      </c>
    </row>
    <row r="14" spans="1:8" ht="30" customHeight="1" x14ac:dyDescent="0.25">
      <c r="A14" s="302">
        <v>2</v>
      </c>
      <c r="B14" s="303" t="s">
        <v>302</v>
      </c>
      <c r="C14" s="295" t="s">
        <v>303</v>
      </c>
      <c r="D14" s="304">
        <v>3.5</v>
      </c>
      <c r="E14" s="304">
        <f>D14*12</f>
        <v>42</v>
      </c>
      <c r="F14" s="305">
        <v>27.66</v>
      </c>
      <c r="G14" s="305">
        <f>F14*E14</f>
        <v>1161.72</v>
      </c>
      <c r="H14" s="306">
        <f>G14/12</f>
        <v>96.81</v>
      </c>
    </row>
    <row r="15" spans="1:8" ht="30" customHeight="1" thickBot="1" x14ac:dyDescent="0.3">
      <c r="A15" s="307">
        <v>3</v>
      </c>
      <c r="B15" s="308" t="s">
        <v>304</v>
      </c>
      <c r="C15" s="176" t="s">
        <v>303</v>
      </c>
      <c r="D15" s="291">
        <v>3.5</v>
      </c>
      <c r="E15" s="291">
        <f>D15*12</f>
        <v>42</v>
      </c>
      <c r="F15" s="177">
        <v>34.79</v>
      </c>
      <c r="G15" s="177">
        <f>F15*E15</f>
        <v>1461.18</v>
      </c>
      <c r="H15" s="223">
        <f>G15/12</f>
        <v>121.77</v>
      </c>
    </row>
    <row r="16" spans="1:8" ht="15" customHeight="1" thickBot="1" x14ac:dyDescent="0.3">
      <c r="A16" s="486" t="s">
        <v>255</v>
      </c>
      <c r="B16" s="487"/>
      <c r="C16" s="487"/>
      <c r="D16" s="487"/>
      <c r="E16" s="487"/>
      <c r="F16" s="487"/>
      <c r="G16" s="488"/>
      <c r="H16" s="228">
        <f>SUM(H12:H15)</f>
        <v>534.83000000000004</v>
      </c>
    </row>
    <row r="17" spans="1:8" ht="15.75" thickBot="1" x14ac:dyDescent="0.3">
      <c r="A17" s="504"/>
      <c r="B17" s="505"/>
      <c r="C17" s="505"/>
      <c r="D17" s="505"/>
      <c r="E17" s="505"/>
      <c r="F17" s="505"/>
      <c r="G17" s="505"/>
      <c r="H17" s="506"/>
    </row>
    <row r="18" spans="1:8" ht="15.75" thickBot="1" x14ac:dyDescent="0.3">
      <c r="A18" s="507" t="s">
        <v>241</v>
      </c>
      <c r="B18" s="508"/>
      <c r="C18" s="508"/>
      <c r="D18" s="508"/>
      <c r="E18" s="508"/>
      <c r="F18" s="508"/>
      <c r="G18" s="509"/>
      <c r="H18" s="112">
        <f>H8/8</f>
        <v>64.819999999999993</v>
      </c>
    </row>
    <row r="19" spans="1:8" ht="15.75" thickBot="1" x14ac:dyDescent="0.3">
      <c r="A19" s="507" t="s">
        <v>274</v>
      </c>
      <c r="B19" s="508"/>
      <c r="C19" s="508"/>
      <c r="D19" s="508"/>
      <c r="E19" s="508"/>
      <c r="F19" s="508"/>
      <c r="G19" s="509"/>
      <c r="H19" s="112">
        <f>H8/8</f>
        <v>64.819999999999993</v>
      </c>
    </row>
    <row r="20" spans="1:8" ht="15.75" thickBot="1" x14ac:dyDescent="0.3">
      <c r="A20" s="507" t="s">
        <v>242</v>
      </c>
      <c r="B20" s="508"/>
      <c r="C20" s="508"/>
      <c r="D20" s="508"/>
      <c r="E20" s="508"/>
      <c r="F20" s="508"/>
      <c r="G20" s="509"/>
      <c r="H20" s="112">
        <f>H16/12</f>
        <v>44.57</v>
      </c>
    </row>
    <row r="21" spans="1:8" ht="15.75" thickBot="1" x14ac:dyDescent="0.3">
      <c r="A21" s="507" t="s">
        <v>275</v>
      </c>
      <c r="B21" s="508"/>
      <c r="C21" s="508"/>
      <c r="D21" s="508"/>
      <c r="E21" s="508"/>
      <c r="F21" s="508"/>
      <c r="G21" s="509"/>
      <c r="H21" s="112">
        <f>H16/12</f>
        <v>44.57</v>
      </c>
    </row>
    <row r="22" spans="1:8" ht="15.75" thickBot="1" x14ac:dyDescent="0.3">
      <c r="A22" s="501" t="s">
        <v>254</v>
      </c>
      <c r="B22" s="502"/>
      <c r="C22" s="502"/>
      <c r="D22" s="502"/>
      <c r="E22" s="502"/>
      <c r="F22" s="502"/>
      <c r="G22" s="502"/>
      <c r="H22" s="503"/>
    </row>
    <row r="23" spans="1:8" ht="15" customHeight="1" x14ac:dyDescent="0.25">
      <c r="A23" s="477" t="s">
        <v>295</v>
      </c>
      <c r="B23" s="478"/>
      <c r="C23" s="478"/>
      <c r="D23" s="478"/>
      <c r="E23" s="478"/>
      <c r="F23" s="478"/>
      <c r="G23" s="478"/>
      <c r="H23" s="479"/>
    </row>
    <row r="24" spans="1:8" x14ac:dyDescent="0.25">
      <c r="A24" s="480"/>
      <c r="B24" s="481"/>
      <c r="C24" s="481"/>
      <c r="D24" s="481"/>
      <c r="E24" s="481"/>
      <c r="F24" s="481"/>
      <c r="G24" s="481"/>
      <c r="H24" s="482"/>
    </row>
    <row r="25" spans="1:8" x14ac:dyDescent="0.25">
      <c r="A25" s="480"/>
      <c r="B25" s="481"/>
      <c r="C25" s="481"/>
      <c r="D25" s="481"/>
      <c r="E25" s="481"/>
      <c r="F25" s="481"/>
      <c r="G25" s="481"/>
      <c r="H25" s="482"/>
    </row>
    <row r="26" spans="1:8" x14ac:dyDescent="0.25">
      <c r="A26" s="480"/>
      <c r="B26" s="481"/>
      <c r="C26" s="481"/>
      <c r="D26" s="481"/>
      <c r="E26" s="481"/>
      <c r="F26" s="481"/>
      <c r="G26" s="481"/>
      <c r="H26" s="482"/>
    </row>
    <row r="27" spans="1:8" x14ac:dyDescent="0.25">
      <c r="A27" s="480"/>
      <c r="B27" s="481"/>
      <c r="C27" s="481"/>
      <c r="D27" s="481"/>
      <c r="E27" s="481"/>
      <c r="F27" s="481"/>
      <c r="G27" s="481"/>
      <c r="H27" s="482"/>
    </row>
    <row r="28" spans="1:8" ht="15.75" thickBot="1" x14ac:dyDescent="0.3">
      <c r="A28" s="483"/>
      <c r="B28" s="484"/>
      <c r="C28" s="484"/>
      <c r="D28" s="484"/>
      <c r="E28" s="484"/>
      <c r="F28" s="484"/>
      <c r="G28" s="484"/>
      <c r="H28" s="485"/>
    </row>
    <row r="29" spans="1:8" x14ac:dyDescent="0.25">
      <c r="A29" s="215"/>
      <c r="B29" s="215"/>
      <c r="C29" s="215"/>
      <c r="D29" s="215"/>
      <c r="E29" s="215"/>
      <c r="F29" s="215"/>
      <c r="G29" s="215"/>
      <c r="H29" s="215"/>
    </row>
    <row r="30" spans="1:8" x14ac:dyDescent="0.25">
      <c r="A30" s="215"/>
      <c r="B30" s="215"/>
      <c r="C30" s="215"/>
      <c r="D30" s="215"/>
      <c r="E30" s="215"/>
      <c r="F30" s="215"/>
      <c r="G30" s="215"/>
      <c r="H30" s="215"/>
    </row>
    <row r="31" spans="1:8" x14ac:dyDescent="0.25">
      <c r="A31" s="215"/>
      <c r="B31" s="215"/>
      <c r="C31" s="215"/>
      <c r="D31" s="215"/>
      <c r="E31" s="215"/>
      <c r="F31" s="215"/>
      <c r="G31" s="215"/>
      <c r="H31" s="215"/>
    </row>
  </sheetData>
  <mergeCells count="13">
    <mergeCell ref="A23:H28"/>
    <mergeCell ref="A16:G16"/>
    <mergeCell ref="A1:H1"/>
    <mergeCell ref="A2:H2"/>
    <mergeCell ref="A8:G8"/>
    <mergeCell ref="A9:H9"/>
    <mergeCell ref="A10:H10"/>
    <mergeCell ref="A22:H22"/>
    <mergeCell ref="A17:H17"/>
    <mergeCell ref="A18:G18"/>
    <mergeCell ref="A20:G20"/>
    <mergeCell ref="A19:G19"/>
    <mergeCell ref="A21:G21"/>
  </mergeCells>
  <pageMargins left="0.511811024" right="0.511811024" top="0.78740157499999996" bottom="0.78740157499999996" header="0.31496062000000002" footer="0.31496062000000002"/>
  <pageSetup paperSize="9" scale="5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view="pageBreakPreview" zoomScaleNormal="100" zoomScaleSheetLayoutView="100" workbookViewId="0">
      <selection activeCell="A6" sqref="A6"/>
    </sheetView>
  </sheetViews>
  <sheetFormatPr defaultRowHeight="15" x14ac:dyDescent="0.25"/>
  <cols>
    <col min="1" max="1" width="9.85546875" bestFit="1" customWidth="1"/>
    <col min="2" max="2" width="60.7109375" customWidth="1"/>
    <col min="3" max="3" width="11.5703125" bestFit="1" customWidth="1"/>
    <col min="4" max="4" width="14.140625" customWidth="1"/>
    <col min="5" max="8" width="20.7109375" customWidth="1"/>
  </cols>
  <sheetData>
    <row r="1" spans="1:8" ht="15" customHeight="1" thickBot="1" x14ac:dyDescent="0.3">
      <c r="A1" s="489" t="s">
        <v>170</v>
      </c>
      <c r="B1" s="490"/>
      <c r="C1" s="490"/>
      <c r="D1" s="490"/>
      <c r="E1" s="490"/>
      <c r="F1" s="490"/>
      <c r="G1" s="490"/>
      <c r="H1" s="491"/>
    </row>
    <row r="2" spans="1:8" ht="15" customHeight="1" x14ac:dyDescent="0.25">
      <c r="A2" s="512" t="s">
        <v>253</v>
      </c>
      <c r="B2" s="513"/>
      <c r="C2" s="513"/>
      <c r="D2" s="513"/>
      <c r="E2" s="513"/>
      <c r="F2" s="513"/>
      <c r="G2" s="513"/>
      <c r="H2" s="514"/>
    </row>
    <row r="3" spans="1:8" ht="45" customHeight="1" x14ac:dyDescent="0.25">
      <c r="A3" s="120">
        <v>1</v>
      </c>
      <c r="B3" s="121" t="s">
        <v>249</v>
      </c>
      <c r="C3" s="96">
        <v>1</v>
      </c>
      <c r="D3" s="113">
        <v>12</v>
      </c>
      <c r="E3" s="96">
        <v>12</v>
      </c>
      <c r="F3" s="118">
        <f>F7*5%</f>
        <v>18000</v>
      </c>
      <c r="G3" s="118">
        <f>F3*C3</f>
        <v>18000</v>
      </c>
      <c r="H3" s="119">
        <f>G3/12</f>
        <v>1500</v>
      </c>
    </row>
    <row r="4" spans="1:8" ht="15" customHeight="1" x14ac:dyDescent="0.25">
      <c r="A4" s="116"/>
      <c r="B4" s="114" t="s">
        <v>250</v>
      </c>
      <c r="C4" s="114"/>
      <c r="D4" s="114"/>
      <c r="E4" s="114"/>
      <c r="F4" s="224"/>
      <c r="G4" s="224"/>
      <c r="H4" s="225"/>
    </row>
    <row r="5" spans="1:8" ht="140.1" customHeight="1" x14ac:dyDescent="0.25">
      <c r="A5" s="120">
        <v>1</v>
      </c>
      <c r="B5" s="216" t="s">
        <v>251</v>
      </c>
      <c r="C5" s="96">
        <v>1</v>
      </c>
      <c r="D5" s="113">
        <v>12</v>
      </c>
      <c r="E5" s="96">
        <v>12</v>
      </c>
      <c r="F5" s="118">
        <f>F7*10%</f>
        <v>36000</v>
      </c>
      <c r="G5" s="118">
        <f>F5*C5</f>
        <v>36000</v>
      </c>
      <c r="H5" s="119">
        <f>G5/12</f>
        <v>3000</v>
      </c>
    </row>
    <row r="6" spans="1:8" ht="15" customHeight="1" x14ac:dyDescent="0.25">
      <c r="A6" s="116" t="s">
        <v>166</v>
      </c>
      <c r="B6" s="115" t="s">
        <v>187</v>
      </c>
      <c r="C6" s="114" t="s">
        <v>167</v>
      </c>
      <c r="D6" s="114" t="s">
        <v>168</v>
      </c>
      <c r="E6" s="114" t="s">
        <v>171</v>
      </c>
      <c r="F6" s="224" t="s">
        <v>169</v>
      </c>
      <c r="G6" s="224" t="s">
        <v>226</v>
      </c>
      <c r="H6" s="225" t="s">
        <v>172</v>
      </c>
    </row>
    <row r="7" spans="1:8" ht="15" customHeight="1" thickBot="1" x14ac:dyDescent="0.3">
      <c r="A7" s="217">
        <v>1</v>
      </c>
      <c r="B7" s="218" t="s">
        <v>188</v>
      </c>
      <c r="C7" s="219" t="s">
        <v>167</v>
      </c>
      <c r="D7" s="220">
        <v>1</v>
      </c>
      <c r="E7" s="219">
        <v>60</v>
      </c>
      <c r="F7" s="221">
        <v>360000</v>
      </c>
      <c r="G7" s="222">
        <f>F7*D7</f>
        <v>360000</v>
      </c>
      <c r="H7" s="223">
        <f>(G7/E7)</f>
        <v>6000</v>
      </c>
    </row>
    <row r="8" spans="1:8" ht="15" customHeight="1" thickBot="1" x14ac:dyDescent="0.3">
      <c r="A8" s="486" t="s">
        <v>255</v>
      </c>
      <c r="B8" s="487"/>
      <c r="C8" s="487"/>
      <c r="D8" s="487"/>
      <c r="E8" s="487"/>
      <c r="F8" s="487"/>
      <c r="G8" s="487"/>
      <c r="H8" s="228">
        <f>SUM(H3:H7)</f>
        <v>10500</v>
      </c>
    </row>
    <row r="9" spans="1:8" ht="15" customHeight="1" thickBot="1" x14ac:dyDescent="0.3">
      <c r="A9" s="518"/>
      <c r="B9" s="519"/>
      <c r="C9" s="519"/>
      <c r="D9" s="519"/>
      <c r="E9" s="519"/>
      <c r="F9" s="519"/>
      <c r="G9" s="519"/>
      <c r="H9" s="520"/>
    </row>
    <row r="10" spans="1:8" ht="15" customHeight="1" x14ac:dyDescent="0.25">
      <c r="A10" s="515" t="s">
        <v>252</v>
      </c>
      <c r="B10" s="516"/>
      <c r="C10" s="516"/>
      <c r="D10" s="516"/>
      <c r="E10" s="516"/>
      <c r="F10" s="516"/>
      <c r="G10" s="516"/>
      <c r="H10" s="517"/>
    </row>
    <row r="11" spans="1:8" ht="15" customHeight="1" x14ac:dyDescent="0.25">
      <c r="A11" s="116" t="s">
        <v>166</v>
      </c>
      <c r="B11" s="114" t="s">
        <v>248</v>
      </c>
      <c r="C11" s="114" t="s">
        <v>167</v>
      </c>
      <c r="D11" s="114" t="s">
        <v>168</v>
      </c>
      <c r="E11" s="114" t="s">
        <v>171</v>
      </c>
      <c r="F11" s="114" t="s">
        <v>169</v>
      </c>
      <c r="G11" s="114" t="s">
        <v>226</v>
      </c>
      <c r="H11" s="117" t="s">
        <v>172</v>
      </c>
    </row>
    <row r="12" spans="1:8" ht="45" customHeight="1" x14ac:dyDescent="0.25">
      <c r="A12" s="120">
        <v>1</v>
      </c>
      <c r="B12" s="121" t="s">
        <v>249</v>
      </c>
      <c r="C12" s="96">
        <v>1</v>
      </c>
      <c r="D12" s="113">
        <v>12</v>
      </c>
      <c r="E12" s="96">
        <v>12</v>
      </c>
      <c r="F12" s="118">
        <f>F16*5%</f>
        <v>18975</v>
      </c>
      <c r="G12" s="118">
        <f>F12*C12</f>
        <v>18975</v>
      </c>
      <c r="H12" s="119">
        <f>G12/12</f>
        <v>1581.25</v>
      </c>
    </row>
    <row r="13" spans="1:8" x14ac:dyDescent="0.25">
      <c r="A13" s="116"/>
      <c r="B13" s="114" t="s">
        <v>250</v>
      </c>
      <c r="C13" s="114"/>
      <c r="D13" s="114"/>
      <c r="E13" s="114"/>
      <c r="F13" s="224"/>
      <c r="G13" s="224"/>
      <c r="H13" s="225"/>
    </row>
    <row r="14" spans="1:8" ht="135" x14ac:dyDescent="0.25">
      <c r="A14" s="120">
        <v>1</v>
      </c>
      <c r="B14" s="216" t="s">
        <v>251</v>
      </c>
      <c r="C14" s="96">
        <v>1</v>
      </c>
      <c r="D14" s="113">
        <v>12</v>
      </c>
      <c r="E14" s="96">
        <v>12</v>
      </c>
      <c r="F14" s="118">
        <f>F16*10%</f>
        <v>37950</v>
      </c>
      <c r="G14" s="118">
        <f>F14*C14</f>
        <v>37950</v>
      </c>
      <c r="H14" s="119">
        <f>G14/12</f>
        <v>3162.5</v>
      </c>
    </row>
    <row r="15" spans="1:8" x14ac:dyDescent="0.25">
      <c r="A15" s="116" t="s">
        <v>166</v>
      </c>
      <c r="B15" s="115" t="s">
        <v>187</v>
      </c>
      <c r="C15" s="114" t="s">
        <v>167</v>
      </c>
      <c r="D15" s="114" t="s">
        <v>168</v>
      </c>
      <c r="E15" s="114" t="s">
        <v>171</v>
      </c>
      <c r="F15" s="224" t="s">
        <v>169</v>
      </c>
      <c r="G15" s="224" t="s">
        <v>226</v>
      </c>
      <c r="H15" s="225" t="s">
        <v>172</v>
      </c>
    </row>
    <row r="16" spans="1:8" ht="15.75" thickBot="1" x14ac:dyDescent="0.3">
      <c r="A16" s="217">
        <v>1</v>
      </c>
      <c r="B16" s="218" t="s">
        <v>240</v>
      </c>
      <c r="C16" s="219" t="s">
        <v>167</v>
      </c>
      <c r="D16" s="220">
        <v>1</v>
      </c>
      <c r="E16" s="219">
        <v>60</v>
      </c>
      <c r="F16" s="221">
        <v>379500</v>
      </c>
      <c r="G16" s="222">
        <f>F16*D16</f>
        <v>379500</v>
      </c>
      <c r="H16" s="223">
        <f>(G16/E16)</f>
        <v>6325</v>
      </c>
    </row>
    <row r="17" spans="1:8" ht="15.75" thickBot="1" x14ac:dyDescent="0.3">
      <c r="A17" s="486" t="s">
        <v>255</v>
      </c>
      <c r="B17" s="487"/>
      <c r="C17" s="487"/>
      <c r="D17" s="487"/>
      <c r="E17" s="487"/>
      <c r="F17" s="487"/>
      <c r="G17" s="521"/>
      <c r="H17" s="229">
        <f>SUM(H12:H16)</f>
        <v>11068.75</v>
      </c>
    </row>
    <row r="18" spans="1:8" ht="15.75" thickBot="1" x14ac:dyDescent="0.3">
      <c r="A18" s="311"/>
      <c r="B18" s="312"/>
      <c r="C18" s="312"/>
      <c r="D18" s="312"/>
      <c r="E18" s="312"/>
      <c r="F18" s="312"/>
      <c r="G18" s="312"/>
      <c r="H18" s="313"/>
    </row>
    <row r="19" spans="1:8" ht="15.75" thickBot="1" x14ac:dyDescent="0.3">
      <c r="A19" s="507" t="s">
        <v>241</v>
      </c>
      <c r="B19" s="508"/>
      <c r="C19" s="508"/>
      <c r="D19" s="508"/>
      <c r="E19" s="508"/>
      <c r="F19" s="508"/>
      <c r="G19" s="509"/>
      <c r="H19" s="112">
        <f>H8/8</f>
        <v>1312.5</v>
      </c>
    </row>
    <row r="20" spans="1:8" ht="15.75" thickBot="1" x14ac:dyDescent="0.3">
      <c r="A20" s="507" t="s">
        <v>274</v>
      </c>
      <c r="B20" s="508"/>
      <c r="C20" s="508"/>
      <c r="D20" s="508"/>
      <c r="E20" s="508"/>
      <c r="F20" s="508"/>
      <c r="G20" s="509"/>
      <c r="H20" s="112">
        <f>H8/8</f>
        <v>1312.5</v>
      </c>
    </row>
    <row r="21" spans="1:8" ht="15.75" thickBot="1" x14ac:dyDescent="0.3">
      <c r="A21" s="507" t="s">
        <v>242</v>
      </c>
      <c r="B21" s="508"/>
      <c r="C21" s="508"/>
      <c r="D21" s="508"/>
      <c r="E21" s="508"/>
      <c r="F21" s="508"/>
      <c r="G21" s="509"/>
      <c r="H21" s="112">
        <f>H17/12</f>
        <v>922.4</v>
      </c>
    </row>
    <row r="22" spans="1:8" ht="15.75" thickBot="1" x14ac:dyDescent="0.3">
      <c r="A22" s="507" t="s">
        <v>275</v>
      </c>
      <c r="B22" s="508"/>
      <c r="C22" s="508"/>
      <c r="D22" s="508"/>
      <c r="E22" s="508"/>
      <c r="F22" s="508"/>
      <c r="G22" s="509"/>
      <c r="H22" s="112">
        <f>H17/12</f>
        <v>922.4</v>
      </c>
    </row>
    <row r="23" spans="1:8" ht="15.75" thickBot="1" x14ac:dyDescent="0.3">
      <c r="A23" s="467" t="s">
        <v>254</v>
      </c>
      <c r="B23" s="510"/>
      <c r="C23" s="510"/>
      <c r="D23" s="510"/>
      <c r="E23" s="510"/>
      <c r="F23" s="510"/>
      <c r="G23" s="510"/>
      <c r="H23" s="511"/>
    </row>
    <row r="24" spans="1:8" ht="15" customHeight="1" x14ac:dyDescent="0.25">
      <c r="A24" s="468" t="s">
        <v>296</v>
      </c>
      <c r="B24" s="469"/>
      <c r="C24" s="469"/>
      <c r="D24" s="469"/>
      <c r="E24" s="469"/>
      <c r="F24" s="469"/>
      <c r="G24" s="469"/>
      <c r="H24" s="470"/>
    </row>
    <row r="25" spans="1:8" x14ac:dyDescent="0.25">
      <c r="A25" s="471"/>
      <c r="B25" s="472"/>
      <c r="C25" s="472"/>
      <c r="D25" s="472"/>
      <c r="E25" s="472"/>
      <c r="F25" s="472"/>
      <c r="G25" s="472"/>
      <c r="H25" s="473"/>
    </row>
    <row r="26" spans="1:8" x14ac:dyDescent="0.25">
      <c r="A26" s="471"/>
      <c r="B26" s="472"/>
      <c r="C26" s="472"/>
      <c r="D26" s="472"/>
      <c r="E26" s="472"/>
      <c r="F26" s="472"/>
      <c r="G26" s="472"/>
      <c r="H26" s="473"/>
    </row>
    <row r="27" spans="1:8" x14ac:dyDescent="0.25">
      <c r="A27" s="471"/>
      <c r="B27" s="472"/>
      <c r="C27" s="472"/>
      <c r="D27" s="472"/>
      <c r="E27" s="472"/>
      <c r="F27" s="472"/>
      <c r="G27" s="472"/>
      <c r="H27" s="473"/>
    </row>
    <row r="28" spans="1:8" x14ac:dyDescent="0.25">
      <c r="A28" s="471"/>
      <c r="B28" s="472"/>
      <c r="C28" s="472"/>
      <c r="D28" s="472"/>
      <c r="E28" s="472"/>
      <c r="F28" s="472"/>
      <c r="G28" s="472"/>
      <c r="H28" s="473"/>
    </row>
    <row r="29" spans="1:8" x14ac:dyDescent="0.25">
      <c r="A29" s="471"/>
      <c r="B29" s="472"/>
      <c r="C29" s="472"/>
      <c r="D29" s="472"/>
      <c r="E29" s="472"/>
      <c r="F29" s="472"/>
      <c r="G29" s="472"/>
      <c r="H29" s="473"/>
    </row>
    <row r="30" spans="1:8" x14ac:dyDescent="0.25">
      <c r="A30" s="471"/>
      <c r="B30" s="472"/>
      <c r="C30" s="472"/>
      <c r="D30" s="472"/>
      <c r="E30" s="472"/>
      <c r="F30" s="472"/>
      <c r="G30" s="472"/>
      <c r="H30" s="473"/>
    </row>
    <row r="31" spans="1:8" x14ac:dyDescent="0.25">
      <c r="A31" s="471"/>
      <c r="B31" s="472"/>
      <c r="C31" s="472"/>
      <c r="D31" s="472"/>
      <c r="E31" s="472"/>
      <c r="F31" s="472"/>
      <c r="G31" s="472"/>
      <c r="H31" s="473"/>
    </row>
    <row r="32" spans="1:8" x14ac:dyDescent="0.25">
      <c r="A32" s="471"/>
      <c r="B32" s="472"/>
      <c r="C32" s="472"/>
      <c r="D32" s="472"/>
      <c r="E32" s="472"/>
      <c r="F32" s="472"/>
      <c r="G32" s="472"/>
      <c r="H32" s="473"/>
    </row>
    <row r="33" spans="1:8" x14ac:dyDescent="0.25">
      <c r="A33" s="471"/>
      <c r="B33" s="472"/>
      <c r="C33" s="472"/>
      <c r="D33" s="472"/>
      <c r="E33" s="472"/>
      <c r="F33" s="472"/>
      <c r="G33" s="472"/>
      <c r="H33" s="473"/>
    </row>
    <row r="34" spans="1:8" x14ac:dyDescent="0.25">
      <c r="A34" s="471"/>
      <c r="B34" s="472"/>
      <c r="C34" s="472"/>
      <c r="D34" s="472"/>
      <c r="E34" s="472"/>
      <c r="F34" s="472"/>
      <c r="G34" s="472"/>
      <c r="H34" s="473"/>
    </row>
    <row r="35" spans="1:8" x14ac:dyDescent="0.25">
      <c r="A35" s="471"/>
      <c r="B35" s="472"/>
      <c r="C35" s="472"/>
      <c r="D35" s="472"/>
      <c r="E35" s="472"/>
      <c r="F35" s="472"/>
      <c r="G35" s="472"/>
      <c r="H35" s="473"/>
    </row>
    <row r="36" spans="1:8" ht="15.75" thickBot="1" x14ac:dyDescent="0.3">
      <c r="A36" s="474"/>
      <c r="B36" s="475"/>
      <c r="C36" s="475"/>
      <c r="D36" s="475"/>
      <c r="E36" s="475"/>
      <c r="F36" s="475"/>
      <c r="G36" s="475"/>
      <c r="H36" s="476"/>
    </row>
  </sheetData>
  <mergeCells count="13">
    <mergeCell ref="A24:H36"/>
    <mergeCell ref="A23:H23"/>
    <mergeCell ref="A1:H1"/>
    <mergeCell ref="A2:H2"/>
    <mergeCell ref="A22:G22"/>
    <mergeCell ref="A21:G21"/>
    <mergeCell ref="A20:G20"/>
    <mergeCell ref="A19:G19"/>
    <mergeCell ref="A10:H10"/>
    <mergeCell ref="A9:H9"/>
    <mergeCell ref="A18:H18"/>
    <mergeCell ref="A8:G8"/>
    <mergeCell ref="A17:G17"/>
  </mergeCells>
  <pageMargins left="0.511811024" right="0.511811024" top="0.78740157499999996" bottom="0.78740157499999996" header="0.31496062000000002" footer="0.31496062000000002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opLeftCell="A7" workbookViewId="0">
      <selection activeCell="E8" sqref="E8"/>
    </sheetView>
  </sheetViews>
  <sheetFormatPr defaultColWidth="42.85546875" defaultRowHeight="18.75" x14ac:dyDescent="0.3"/>
  <cols>
    <col min="1" max="1" width="42.85546875" style="3"/>
    <col min="2" max="2" width="72.5703125" style="3" customWidth="1"/>
    <col min="3" max="16384" width="42.85546875" style="20"/>
  </cols>
  <sheetData>
    <row r="1" spans="1:2" ht="19.5" thickBot="1" x14ac:dyDescent="0.35">
      <c r="A1" s="317" t="s">
        <v>95</v>
      </c>
      <c r="B1" s="317"/>
    </row>
    <row r="2" spans="1:2" ht="19.5" thickBot="1" x14ac:dyDescent="0.35">
      <c r="A2" s="21" t="s">
        <v>96</v>
      </c>
      <c r="B2" s="21" t="s">
        <v>97</v>
      </c>
    </row>
    <row r="3" spans="1:2" ht="19.5" thickBot="1" x14ac:dyDescent="0.35">
      <c r="A3" s="22" t="s">
        <v>98</v>
      </c>
      <c r="B3" s="23" t="s">
        <v>99</v>
      </c>
    </row>
    <row r="4" spans="1:2" ht="57" thickBot="1" x14ac:dyDescent="0.35">
      <c r="A4" s="24" t="s">
        <v>100</v>
      </c>
      <c r="B4" s="25" t="s">
        <v>101</v>
      </c>
    </row>
    <row r="5" spans="1:2" ht="19.5" thickBot="1" x14ac:dyDescent="0.35">
      <c r="A5" s="24" t="s">
        <v>102</v>
      </c>
      <c r="B5" s="25" t="s">
        <v>103</v>
      </c>
    </row>
    <row r="6" spans="1:2" ht="94.5" thickBot="1" x14ac:dyDescent="0.35">
      <c r="A6" s="24" t="s">
        <v>104</v>
      </c>
      <c r="B6" s="25" t="s">
        <v>105</v>
      </c>
    </row>
    <row r="7" spans="1:2" ht="38.25" thickBot="1" x14ac:dyDescent="0.35">
      <c r="A7" s="24" t="s">
        <v>106</v>
      </c>
      <c r="B7" s="25" t="s">
        <v>107</v>
      </c>
    </row>
    <row r="8" spans="1:2" ht="19.5" thickBot="1" x14ac:dyDescent="0.35">
      <c r="A8" s="24" t="s">
        <v>108</v>
      </c>
      <c r="B8" s="25" t="s">
        <v>109</v>
      </c>
    </row>
    <row r="9" spans="1:2" ht="38.25" thickBot="1" x14ac:dyDescent="0.35">
      <c r="A9" s="24" t="s">
        <v>110</v>
      </c>
      <c r="B9" s="25" t="s">
        <v>111</v>
      </c>
    </row>
    <row r="10" spans="1:2" ht="57" thickBot="1" x14ac:dyDescent="0.35">
      <c r="A10" s="24" t="s">
        <v>112</v>
      </c>
      <c r="B10" s="25" t="s">
        <v>113</v>
      </c>
    </row>
    <row r="11" spans="1:2" ht="75.75" thickBot="1" x14ac:dyDescent="0.35">
      <c r="A11" s="24" t="s">
        <v>114</v>
      </c>
      <c r="B11" s="25" t="s">
        <v>115</v>
      </c>
    </row>
    <row r="12" spans="1:2" ht="57" thickBot="1" x14ac:dyDescent="0.35">
      <c r="A12" s="24" t="s">
        <v>112</v>
      </c>
      <c r="B12" s="25" t="s">
        <v>116</v>
      </c>
    </row>
    <row r="13" spans="1:2" ht="38.25" thickBot="1" x14ac:dyDescent="0.35">
      <c r="A13" s="24" t="s">
        <v>112</v>
      </c>
      <c r="B13" s="25" t="s">
        <v>117</v>
      </c>
    </row>
    <row r="14" spans="1:2" ht="57" thickBot="1" x14ac:dyDescent="0.35">
      <c r="A14" s="24" t="s">
        <v>112</v>
      </c>
      <c r="B14" s="25" t="s">
        <v>118</v>
      </c>
    </row>
    <row r="15" spans="1:2" ht="19.5" thickBot="1" x14ac:dyDescent="0.35">
      <c r="A15" s="24" t="s">
        <v>112</v>
      </c>
      <c r="B15" s="25" t="s">
        <v>119</v>
      </c>
    </row>
    <row r="16" spans="1:2" ht="38.25" thickBot="1" x14ac:dyDescent="0.35">
      <c r="A16" s="24" t="s">
        <v>120</v>
      </c>
      <c r="B16" s="25" t="s">
        <v>121</v>
      </c>
    </row>
    <row r="17" spans="1:2" ht="38.25" thickBot="1" x14ac:dyDescent="0.35">
      <c r="A17" s="24" t="s">
        <v>122</v>
      </c>
      <c r="B17" s="25" t="s">
        <v>123</v>
      </c>
    </row>
    <row r="18" spans="1:2" ht="38.25" thickBot="1" x14ac:dyDescent="0.35">
      <c r="A18" s="24" t="s">
        <v>112</v>
      </c>
      <c r="B18" s="25" t="s">
        <v>124</v>
      </c>
    </row>
    <row r="19" spans="1:2" ht="57" thickBot="1" x14ac:dyDescent="0.35">
      <c r="A19" s="24" t="s">
        <v>112</v>
      </c>
      <c r="B19" s="25" t="s">
        <v>125</v>
      </c>
    </row>
    <row r="20" spans="1:2" ht="38.25" thickBot="1" x14ac:dyDescent="0.35">
      <c r="A20" s="24" t="s">
        <v>112</v>
      </c>
      <c r="B20" s="25" t="s">
        <v>126</v>
      </c>
    </row>
    <row r="21" spans="1:2" ht="57" thickBot="1" x14ac:dyDescent="0.35">
      <c r="A21" s="24" t="s">
        <v>112</v>
      </c>
      <c r="B21" s="25" t="s">
        <v>127</v>
      </c>
    </row>
    <row r="22" spans="1:2" x14ac:dyDescent="0.3">
      <c r="A22" s="26" t="s">
        <v>112</v>
      </c>
      <c r="B22" s="27" t="s">
        <v>128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view="pageBreakPreview" topLeftCell="A19" zoomScale="80" zoomScaleNormal="80" zoomScaleSheetLayoutView="80" workbookViewId="0">
      <selection activeCell="A6" sqref="A6"/>
    </sheetView>
  </sheetViews>
  <sheetFormatPr defaultRowHeight="12.75" x14ac:dyDescent="0.25"/>
  <cols>
    <col min="1" max="1" width="10.7109375" style="169" customWidth="1"/>
    <col min="2" max="2" width="60.7109375" style="169" customWidth="1"/>
    <col min="3" max="8" width="20.7109375" style="169" customWidth="1"/>
    <col min="9" max="9" width="15.5703125" style="169" bestFit="1" customWidth="1"/>
    <col min="10" max="16384" width="9.140625" style="169"/>
  </cols>
  <sheetData>
    <row r="1" spans="1:9" ht="20.100000000000001" customHeight="1" x14ac:dyDescent="0.25">
      <c r="A1" s="327" t="s">
        <v>257</v>
      </c>
      <c r="B1" s="328"/>
      <c r="C1" s="328"/>
      <c r="D1" s="328"/>
      <c r="E1" s="328"/>
      <c r="F1" s="328"/>
      <c r="G1" s="328"/>
      <c r="H1" s="329"/>
    </row>
    <row r="2" spans="1:9" ht="45" customHeight="1" x14ac:dyDescent="0.25">
      <c r="A2" s="230" t="s">
        <v>258</v>
      </c>
      <c r="B2" s="110" t="s">
        <v>259</v>
      </c>
      <c r="C2" s="254" t="s">
        <v>285</v>
      </c>
      <c r="D2" s="255" t="s">
        <v>260</v>
      </c>
      <c r="E2" s="254" t="s">
        <v>261</v>
      </c>
      <c r="F2" s="110" t="s">
        <v>262</v>
      </c>
      <c r="G2" s="110" t="s">
        <v>286</v>
      </c>
      <c r="H2" s="111" t="s">
        <v>287</v>
      </c>
    </row>
    <row r="3" spans="1:9" ht="150" customHeight="1" x14ac:dyDescent="0.25">
      <c r="A3" s="181">
        <v>1</v>
      </c>
      <c r="B3" s="257" t="s">
        <v>298</v>
      </c>
      <c r="C3" s="180" t="s">
        <v>288</v>
      </c>
      <c r="D3" s="180" t="s">
        <v>292</v>
      </c>
      <c r="E3" s="179">
        <v>1</v>
      </c>
      <c r="F3" s="226">
        <f>('Motorista - Diurno'!D111+'Motorista - Noturno'!D112+'Técnico de Enfermagem - Diurno'!D112+'Técnico de Enfermagem - Noturno'!D112)*2</f>
        <v>91600.48</v>
      </c>
      <c r="G3" s="226">
        <f>F3*E3</f>
        <v>91600.48</v>
      </c>
      <c r="H3" s="227">
        <f>G3*12</f>
        <v>1099205.76</v>
      </c>
    </row>
    <row r="4" spans="1:9" ht="150" customHeight="1" x14ac:dyDescent="0.25">
      <c r="A4" s="181">
        <v>2</v>
      </c>
      <c r="B4" s="283" t="s">
        <v>289</v>
      </c>
      <c r="C4" s="180" t="s">
        <v>288</v>
      </c>
      <c r="D4" s="180" t="s">
        <v>292</v>
      </c>
      <c r="E4" s="179">
        <v>1</v>
      </c>
      <c r="F4" s="226">
        <f>('Motorista - Diurno'!F111+'Motorista - Noturno'!F112+'Enfermeiro - Diurno'!D111+'Enfermeiro - Noturno'!D112+'Médico - Diurno '!D111+'Médico - Noturno'!D111)*2</f>
        <v>281498.14</v>
      </c>
      <c r="G4" s="226">
        <f>F4*E4</f>
        <v>281498.14</v>
      </c>
      <c r="H4" s="227">
        <f>G4*12</f>
        <v>3377977.68</v>
      </c>
    </row>
    <row r="5" spans="1:9" ht="150" customHeight="1" x14ac:dyDescent="0.25">
      <c r="A5" s="181">
        <v>3</v>
      </c>
      <c r="B5" s="257" t="s">
        <v>291</v>
      </c>
      <c r="C5" s="180" t="s">
        <v>288</v>
      </c>
      <c r="D5" s="180" t="s">
        <v>292</v>
      </c>
      <c r="E5" s="179">
        <v>2</v>
      </c>
      <c r="F5" s="226">
        <f>('Motorista - Diurno'!E111+'Motorista - Noturno'!E112+'Técnico de Enfermagem - Diurno'!E112+'Técnico de Enfermagem - Noturno'!E112)*2</f>
        <v>91719.34</v>
      </c>
      <c r="G5" s="226">
        <f>F5*E5</f>
        <v>183438.68</v>
      </c>
      <c r="H5" s="227">
        <f>G5*12</f>
        <v>2201264.16</v>
      </c>
    </row>
    <row r="6" spans="1:9" ht="150" customHeight="1" thickBot="1" x14ac:dyDescent="0.3">
      <c r="A6" s="248">
        <v>4</v>
      </c>
      <c r="B6" s="256" t="s">
        <v>290</v>
      </c>
      <c r="C6" s="249" t="s">
        <v>288</v>
      </c>
      <c r="D6" s="180" t="s">
        <v>292</v>
      </c>
      <c r="E6" s="250">
        <v>2</v>
      </c>
      <c r="F6" s="251">
        <f>('Motorista - Diurno'!G111+'Motorista - Noturno'!G112+'Enfermeiro - Diurno'!E111+'Enfermeiro - Noturno'!E112+'Médico - Diurno '!E111+'Médico - Noturno'!E111)*2</f>
        <v>282182.78000000003</v>
      </c>
      <c r="G6" s="251">
        <f>F6*E6</f>
        <v>564365.56000000006</v>
      </c>
      <c r="H6" s="252">
        <f t="shared" ref="H6" si="0">G6*12</f>
        <v>6772386.7199999997</v>
      </c>
    </row>
    <row r="7" spans="1:9" ht="15" customHeight="1" thickBot="1" x14ac:dyDescent="0.3">
      <c r="A7" s="337" t="s">
        <v>273</v>
      </c>
      <c r="B7" s="338"/>
      <c r="C7" s="338"/>
      <c r="D7" s="338"/>
      <c r="E7" s="338"/>
      <c r="F7" s="338"/>
      <c r="G7" s="338"/>
      <c r="H7" s="253">
        <f>SUM(H3:H6)</f>
        <v>13450834.32</v>
      </c>
    </row>
    <row r="8" spans="1:9" ht="13.5" thickBot="1" x14ac:dyDescent="0.3">
      <c r="A8" s="246"/>
      <c r="B8" s="232"/>
      <c r="C8" s="232"/>
      <c r="D8" s="232"/>
      <c r="E8" s="232"/>
      <c r="F8" s="232"/>
      <c r="G8" s="232"/>
      <c r="H8" s="284"/>
    </row>
    <row r="9" spans="1:9" ht="20.100000000000001" customHeight="1" x14ac:dyDescent="0.25">
      <c r="A9" s="330" t="s">
        <v>257</v>
      </c>
      <c r="B9" s="331"/>
      <c r="C9" s="331"/>
      <c r="D9" s="331"/>
      <c r="E9" s="331"/>
      <c r="F9" s="331"/>
      <c r="G9" s="331"/>
      <c r="H9" s="332"/>
    </row>
    <row r="10" spans="1:9" ht="45" x14ac:dyDescent="0.25">
      <c r="A10" s="333" t="s">
        <v>175</v>
      </c>
      <c r="B10" s="334"/>
      <c r="C10" s="110" t="s">
        <v>176</v>
      </c>
      <c r="D10" s="110" t="s">
        <v>177</v>
      </c>
      <c r="E10" s="110" t="s">
        <v>178</v>
      </c>
      <c r="F10" s="110" t="s">
        <v>179</v>
      </c>
      <c r="G10" s="110" t="s">
        <v>180</v>
      </c>
      <c r="H10" s="111" t="s">
        <v>181</v>
      </c>
    </row>
    <row r="11" spans="1:9" ht="15.75" thickBot="1" x14ac:dyDescent="0.3">
      <c r="A11" s="335" t="s">
        <v>182</v>
      </c>
      <c r="B11" s="336"/>
      <c r="C11" s="143" t="s">
        <v>183</v>
      </c>
      <c r="D11" s="143" t="s">
        <v>184</v>
      </c>
      <c r="E11" s="144" t="s">
        <v>228</v>
      </c>
      <c r="F11" s="144" t="s">
        <v>229</v>
      </c>
      <c r="G11" s="145" t="s">
        <v>185</v>
      </c>
      <c r="H11" s="146" t="s">
        <v>227</v>
      </c>
    </row>
    <row r="12" spans="1:9" ht="15.75" thickBot="1" x14ac:dyDescent="0.3">
      <c r="A12" s="321" t="s">
        <v>189</v>
      </c>
      <c r="B12" s="322"/>
      <c r="C12" s="322"/>
      <c r="D12" s="322"/>
      <c r="E12" s="322"/>
      <c r="F12" s="322"/>
      <c r="G12" s="322"/>
      <c r="H12" s="323"/>
    </row>
    <row r="13" spans="1:9" ht="15" x14ac:dyDescent="0.25">
      <c r="A13" s="324">
        <v>1</v>
      </c>
      <c r="B13" s="174" t="s">
        <v>293</v>
      </c>
      <c r="C13" s="175">
        <f>'Motorista - Diurno'!D111</f>
        <v>11227.44</v>
      </c>
      <c r="D13" s="148">
        <v>2</v>
      </c>
      <c r="E13" s="149">
        <v>1</v>
      </c>
      <c r="F13" s="147">
        <f>C13*D13</f>
        <v>22454.880000000001</v>
      </c>
      <c r="G13" s="147">
        <f>F13*E13</f>
        <v>22454.880000000001</v>
      </c>
      <c r="H13" s="150">
        <f>G13*12</f>
        <v>269458.56</v>
      </c>
      <c r="I13" s="268"/>
    </row>
    <row r="14" spans="1:9" ht="15" x14ac:dyDescent="0.25">
      <c r="A14" s="325"/>
      <c r="B14" s="170" t="s">
        <v>294</v>
      </c>
      <c r="C14" s="142">
        <f>'Motorista - Noturno'!D112</f>
        <v>12460.01</v>
      </c>
      <c r="D14" s="141">
        <v>2</v>
      </c>
      <c r="E14" s="157">
        <v>1</v>
      </c>
      <c r="F14" s="151">
        <f>C14*D14</f>
        <v>24920.02</v>
      </c>
      <c r="G14" s="151">
        <f>F14*E14</f>
        <v>24920.02</v>
      </c>
      <c r="H14" s="158">
        <f>G14*12</f>
        <v>299040.24</v>
      </c>
    </row>
    <row r="15" spans="1:9" ht="15" x14ac:dyDescent="0.25">
      <c r="A15" s="325"/>
      <c r="B15" s="170" t="s">
        <v>236</v>
      </c>
      <c r="C15" s="151">
        <f>'Técnico de Enfermagem - Diurno'!D112</f>
        <v>10572.07</v>
      </c>
      <c r="D15" s="141">
        <v>2</v>
      </c>
      <c r="E15" s="157">
        <v>1</v>
      </c>
      <c r="F15" s="151">
        <f>C15*D15</f>
        <v>21144.14</v>
      </c>
      <c r="G15" s="151">
        <f>F15*E15</f>
        <v>21144.14</v>
      </c>
      <c r="H15" s="158">
        <f>G15*12</f>
        <v>253729.68</v>
      </c>
    </row>
    <row r="16" spans="1:9" ht="15.75" thickBot="1" x14ac:dyDescent="0.3">
      <c r="A16" s="326"/>
      <c r="B16" s="233" t="s">
        <v>235</v>
      </c>
      <c r="C16" s="155">
        <f>'Técnico de Enfermagem - Noturno'!D112</f>
        <v>11540.72</v>
      </c>
      <c r="D16" s="153">
        <v>2</v>
      </c>
      <c r="E16" s="154">
        <v>1</v>
      </c>
      <c r="F16" s="155">
        <f>C16*D16</f>
        <v>23081.439999999999</v>
      </c>
      <c r="G16" s="155">
        <f>F16*E16</f>
        <v>23081.439999999999</v>
      </c>
      <c r="H16" s="156">
        <f>G16*12</f>
        <v>276977.28000000003</v>
      </c>
    </row>
    <row r="17" spans="1:8" ht="15.75" thickBot="1" x14ac:dyDescent="0.3">
      <c r="A17" s="321" t="s">
        <v>237</v>
      </c>
      <c r="B17" s="322"/>
      <c r="C17" s="322"/>
      <c r="D17" s="322"/>
      <c r="E17" s="322"/>
      <c r="F17" s="322"/>
      <c r="G17" s="322"/>
      <c r="H17" s="323"/>
    </row>
    <row r="18" spans="1:8" ht="15" x14ac:dyDescent="0.25">
      <c r="A18" s="324">
        <v>2</v>
      </c>
      <c r="B18" s="174" t="s">
        <v>293</v>
      </c>
      <c r="C18" s="175">
        <f>'Motorista - Diurno'!F111</f>
        <v>11882.89</v>
      </c>
      <c r="D18" s="148">
        <v>2</v>
      </c>
      <c r="E18" s="149">
        <v>1</v>
      </c>
      <c r="F18" s="147">
        <f t="shared" ref="F18:F23" si="1">C18*D18</f>
        <v>23765.78</v>
      </c>
      <c r="G18" s="147">
        <f t="shared" ref="G18:G23" si="2">F18*E18</f>
        <v>23765.78</v>
      </c>
      <c r="H18" s="150">
        <f t="shared" ref="H18:H23" si="3">G18*12</f>
        <v>285189.36</v>
      </c>
    </row>
    <row r="19" spans="1:8" ht="15" x14ac:dyDescent="0.25">
      <c r="A19" s="325"/>
      <c r="B19" s="170" t="s">
        <v>294</v>
      </c>
      <c r="C19" s="142">
        <f>'Motorista - Noturno'!F112</f>
        <v>12963.12</v>
      </c>
      <c r="D19" s="141">
        <v>2</v>
      </c>
      <c r="E19" s="157">
        <v>1</v>
      </c>
      <c r="F19" s="151">
        <f t="shared" si="1"/>
        <v>25926.240000000002</v>
      </c>
      <c r="G19" s="151">
        <f t="shared" si="2"/>
        <v>25926.240000000002</v>
      </c>
      <c r="H19" s="158">
        <f t="shared" si="3"/>
        <v>311114.88</v>
      </c>
    </row>
    <row r="20" spans="1:8" ht="15" x14ac:dyDescent="0.25">
      <c r="A20" s="325"/>
      <c r="B20" s="170" t="s">
        <v>232</v>
      </c>
      <c r="C20" s="151">
        <f>'Enfermeiro - Diurno'!D111</f>
        <v>13253.77</v>
      </c>
      <c r="D20" s="141">
        <v>2</v>
      </c>
      <c r="E20" s="157">
        <v>1</v>
      </c>
      <c r="F20" s="151">
        <f t="shared" si="1"/>
        <v>26507.54</v>
      </c>
      <c r="G20" s="151">
        <f t="shared" si="2"/>
        <v>26507.54</v>
      </c>
      <c r="H20" s="158">
        <f t="shared" si="3"/>
        <v>318090.48</v>
      </c>
    </row>
    <row r="21" spans="1:8" ht="15" x14ac:dyDescent="0.25">
      <c r="A21" s="325"/>
      <c r="B21" s="170" t="s">
        <v>238</v>
      </c>
      <c r="C21" s="151">
        <f>'Enfermeiro - Noturno'!D112</f>
        <v>14559.04</v>
      </c>
      <c r="D21" s="141">
        <v>2</v>
      </c>
      <c r="E21" s="157">
        <v>1</v>
      </c>
      <c r="F21" s="151">
        <f t="shared" si="1"/>
        <v>29118.080000000002</v>
      </c>
      <c r="G21" s="151">
        <f t="shared" si="2"/>
        <v>29118.080000000002</v>
      </c>
      <c r="H21" s="158">
        <f t="shared" si="3"/>
        <v>349416.96000000002</v>
      </c>
    </row>
    <row r="22" spans="1:8" ht="15" x14ac:dyDescent="0.25">
      <c r="A22" s="325"/>
      <c r="B22" s="170" t="s">
        <v>233</v>
      </c>
      <c r="C22" s="151">
        <f>'Médico - Diurno '!D111</f>
        <v>41804.25</v>
      </c>
      <c r="D22" s="141">
        <v>2</v>
      </c>
      <c r="E22" s="157">
        <v>1</v>
      </c>
      <c r="F22" s="151">
        <f t="shared" si="1"/>
        <v>83608.5</v>
      </c>
      <c r="G22" s="151">
        <f t="shared" si="2"/>
        <v>83608.5</v>
      </c>
      <c r="H22" s="158">
        <f t="shared" si="3"/>
        <v>1003302</v>
      </c>
    </row>
    <row r="23" spans="1:8" ht="15.75" thickBot="1" x14ac:dyDescent="0.3">
      <c r="A23" s="326"/>
      <c r="B23" s="233" t="s">
        <v>239</v>
      </c>
      <c r="C23" s="151">
        <f>'Médico - Noturno'!D111</f>
        <v>46286</v>
      </c>
      <c r="D23" s="141">
        <v>2</v>
      </c>
      <c r="E23" s="157">
        <v>1</v>
      </c>
      <c r="F23" s="151">
        <f t="shared" si="1"/>
        <v>92572</v>
      </c>
      <c r="G23" s="151">
        <f t="shared" si="2"/>
        <v>92572</v>
      </c>
      <c r="H23" s="158">
        <f t="shared" si="3"/>
        <v>1110864</v>
      </c>
    </row>
    <row r="24" spans="1:8" ht="15.75" thickBot="1" x14ac:dyDescent="0.3">
      <c r="A24" s="321" t="s">
        <v>189</v>
      </c>
      <c r="B24" s="322"/>
      <c r="C24" s="322"/>
      <c r="D24" s="322"/>
      <c r="E24" s="322"/>
      <c r="F24" s="322"/>
      <c r="G24" s="322"/>
      <c r="H24" s="323"/>
    </row>
    <row r="25" spans="1:8" ht="15" x14ac:dyDescent="0.25">
      <c r="A25" s="324">
        <v>3</v>
      </c>
      <c r="B25" s="174" t="s">
        <v>293</v>
      </c>
      <c r="C25" s="147">
        <f>'Motorista - Diurno'!E111</f>
        <v>11398.64</v>
      </c>
      <c r="D25" s="148">
        <v>2</v>
      </c>
      <c r="E25" s="149">
        <v>2</v>
      </c>
      <c r="F25" s="147">
        <f>C25*D25</f>
        <v>22797.279999999999</v>
      </c>
      <c r="G25" s="147">
        <f>F25*E25</f>
        <v>45594.559999999998</v>
      </c>
      <c r="H25" s="150">
        <f>G25*12</f>
        <v>547134.71999999997</v>
      </c>
    </row>
    <row r="26" spans="1:8" ht="15" x14ac:dyDescent="0.25">
      <c r="A26" s="325"/>
      <c r="B26" s="170" t="s">
        <v>294</v>
      </c>
      <c r="C26" s="151">
        <f>'Motorista - Noturno'!E112</f>
        <v>12348.24</v>
      </c>
      <c r="D26" s="141">
        <v>2</v>
      </c>
      <c r="E26" s="157">
        <v>2</v>
      </c>
      <c r="F26" s="151">
        <f>C26*D26</f>
        <v>24696.48</v>
      </c>
      <c r="G26" s="151">
        <f>F26*E26</f>
        <v>49392.959999999999</v>
      </c>
      <c r="H26" s="158">
        <f>G26*12</f>
        <v>592715.52000000002</v>
      </c>
    </row>
    <row r="27" spans="1:8" ht="15" x14ac:dyDescent="0.25">
      <c r="A27" s="325"/>
      <c r="B27" s="170" t="s">
        <v>236</v>
      </c>
      <c r="C27" s="142">
        <f>'Técnico de Enfermagem - Diurno'!E112</f>
        <v>10572.07</v>
      </c>
      <c r="D27" s="141">
        <v>2</v>
      </c>
      <c r="E27" s="157">
        <v>2</v>
      </c>
      <c r="F27" s="151">
        <f>C27*D27</f>
        <v>21144.14</v>
      </c>
      <c r="G27" s="151">
        <f>F27*E27</f>
        <v>42288.28</v>
      </c>
      <c r="H27" s="158">
        <f>G27*12</f>
        <v>507459.36</v>
      </c>
    </row>
    <row r="28" spans="1:8" ht="15.75" thickBot="1" x14ac:dyDescent="0.3">
      <c r="A28" s="326"/>
      <c r="B28" s="233" t="s">
        <v>235</v>
      </c>
      <c r="C28" s="152">
        <f>'Técnico de Enfermagem - Noturno'!E112</f>
        <v>11540.72</v>
      </c>
      <c r="D28" s="153">
        <v>2</v>
      </c>
      <c r="E28" s="154">
        <v>2</v>
      </c>
      <c r="F28" s="155">
        <f>C28*D28</f>
        <v>23081.439999999999</v>
      </c>
      <c r="G28" s="155">
        <f>F28*E28</f>
        <v>46162.879999999997</v>
      </c>
      <c r="H28" s="156">
        <f>G28*12</f>
        <v>553954.56000000006</v>
      </c>
    </row>
    <row r="29" spans="1:8" ht="15.75" thickBot="1" x14ac:dyDescent="0.3">
      <c r="A29" s="321" t="s">
        <v>237</v>
      </c>
      <c r="B29" s="322"/>
      <c r="C29" s="322"/>
      <c r="D29" s="322"/>
      <c r="E29" s="322"/>
      <c r="F29" s="322"/>
      <c r="G29" s="322"/>
      <c r="H29" s="323"/>
    </row>
    <row r="30" spans="1:8" ht="15" x14ac:dyDescent="0.25">
      <c r="A30" s="324">
        <v>4</v>
      </c>
      <c r="B30" s="174" t="s">
        <v>293</v>
      </c>
      <c r="C30" s="175">
        <f>'Motorista - Diurno'!G111</f>
        <v>12054.07</v>
      </c>
      <c r="D30" s="148">
        <v>2</v>
      </c>
      <c r="E30" s="149">
        <v>2</v>
      </c>
      <c r="F30" s="147">
        <f t="shared" ref="F30:F35" si="4">C30*D30</f>
        <v>24108.14</v>
      </c>
      <c r="G30" s="147">
        <f t="shared" ref="G30:G35" si="5">F30*E30</f>
        <v>48216.28</v>
      </c>
      <c r="H30" s="150">
        <f t="shared" ref="H30:H35" si="6">G30*12</f>
        <v>578595.36</v>
      </c>
    </row>
    <row r="31" spans="1:8" ht="15" x14ac:dyDescent="0.25">
      <c r="A31" s="325"/>
      <c r="B31" s="170" t="s">
        <v>294</v>
      </c>
      <c r="C31" s="142">
        <f>'Motorista - Noturno'!G112</f>
        <v>13134.26</v>
      </c>
      <c r="D31" s="141">
        <v>2</v>
      </c>
      <c r="E31" s="157">
        <v>2</v>
      </c>
      <c r="F31" s="151">
        <f t="shared" si="4"/>
        <v>26268.52</v>
      </c>
      <c r="G31" s="151">
        <f t="shared" si="5"/>
        <v>52537.04</v>
      </c>
      <c r="H31" s="158">
        <f t="shared" si="6"/>
        <v>630444.48</v>
      </c>
    </row>
    <row r="32" spans="1:8" ht="15" x14ac:dyDescent="0.25">
      <c r="A32" s="325"/>
      <c r="B32" s="170" t="s">
        <v>232</v>
      </c>
      <c r="C32" s="151">
        <f>'Enfermeiro - Diurno'!E111</f>
        <v>13253.77</v>
      </c>
      <c r="D32" s="141">
        <v>2</v>
      </c>
      <c r="E32" s="157">
        <v>2</v>
      </c>
      <c r="F32" s="151">
        <f t="shared" si="4"/>
        <v>26507.54</v>
      </c>
      <c r="G32" s="151">
        <f t="shared" si="5"/>
        <v>53015.08</v>
      </c>
      <c r="H32" s="158">
        <f t="shared" si="6"/>
        <v>636180.96</v>
      </c>
    </row>
    <row r="33" spans="1:8" ht="15" x14ac:dyDescent="0.25">
      <c r="A33" s="325"/>
      <c r="B33" s="170" t="s">
        <v>238</v>
      </c>
      <c r="C33" s="151">
        <f>'Enfermeiro - Noturno'!E112</f>
        <v>14559.04</v>
      </c>
      <c r="D33" s="141">
        <v>2</v>
      </c>
      <c r="E33" s="157">
        <v>2</v>
      </c>
      <c r="F33" s="151">
        <f t="shared" si="4"/>
        <v>29118.080000000002</v>
      </c>
      <c r="G33" s="151">
        <f t="shared" si="5"/>
        <v>58236.160000000003</v>
      </c>
      <c r="H33" s="158">
        <f t="shared" si="6"/>
        <v>698833.92000000004</v>
      </c>
    </row>
    <row r="34" spans="1:8" ht="15" x14ac:dyDescent="0.25">
      <c r="A34" s="325"/>
      <c r="B34" s="170" t="s">
        <v>233</v>
      </c>
      <c r="C34" s="151">
        <f>'Médico - Diurno '!E111</f>
        <v>41804.25</v>
      </c>
      <c r="D34" s="141">
        <v>2</v>
      </c>
      <c r="E34" s="157">
        <v>2</v>
      </c>
      <c r="F34" s="151">
        <f t="shared" si="4"/>
        <v>83608.5</v>
      </c>
      <c r="G34" s="151">
        <f t="shared" si="5"/>
        <v>167217</v>
      </c>
      <c r="H34" s="158">
        <f t="shared" si="6"/>
        <v>2006604</v>
      </c>
    </row>
    <row r="35" spans="1:8" ht="15.75" thickBot="1" x14ac:dyDescent="0.3">
      <c r="A35" s="326"/>
      <c r="B35" s="233" t="s">
        <v>239</v>
      </c>
      <c r="C35" s="155">
        <f>'Médico - Noturno'!E111</f>
        <v>46286</v>
      </c>
      <c r="D35" s="153">
        <v>2</v>
      </c>
      <c r="E35" s="154">
        <v>2</v>
      </c>
      <c r="F35" s="155">
        <f t="shared" si="4"/>
        <v>92572</v>
      </c>
      <c r="G35" s="155">
        <f t="shared" si="5"/>
        <v>185144</v>
      </c>
      <c r="H35" s="156">
        <f t="shared" si="6"/>
        <v>2221728</v>
      </c>
    </row>
    <row r="36" spans="1:8" ht="15.75" customHeight="1" thickBot="1" x14ac:dyDescent="0.3">
      <c r="A36" s="318" t="s">
        <v>273</v>
      </c>
      <c r="B36" s="319"/>
      <c r="C36" s="319"/>
      <c r="D36" s="319"/>
      <c r="E36" s="319"/>
      <c r="F36" s="319"/>
      <c r="G36" s="320"/>
      <c r="H36" s="231">
        <f>SUM(H13:H35)</f>
        <v>13450834.32</v>
      </c>
    </row>
  </sheetData>
  <mergeCells count="14">
    <mergeCell ref="A1:H1"/>
    <mergeCell ref="A13:A16"/>
    <mergeCell ref="A25:A28"/>
    <mergeCell ref="A30:A35"/>
    <mergeCell ref="A9:H9"/>
    <mergeCell ref="A10:B10"/>
    <mergeCell ref="A11:B11"/>
    <mergeCell ref="A7:G7"/>
    <mergeCell ref="A36:G36"/>
    <mergeCell ref="A12:H12"/>
    <mergeCell ref="A24:H24"/>
    <mergeCell ref="A29:H29"/>
    <mergeCell ref="A17:H17"/>
    <mergeCell ref="A18:A23"/>
  </mergeCells>
  <pageMargins left="0.511811024" right="0.511811024" top="0.78740157499999996" bottom="0.78740157499999996" header="0.31496062000000002" footer="0.31496062000000002"/>
  <pageSetup paperSize="9" scale="4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3"/>
  <sheetViews>
    <sheetView view="pageBreakPreview" topLeftCell="A10" zoomScaleNormal="115" zoomScaleSheetLayoutView="100" workbookViewId="0">
      <selection activeCell="A6" sqref="A6"/>
    </sheetView>
  </sheetViews>
  <sheetFormatPr defaultColWidth="9.140625" defaultRowHeight="15.75" x14ac:dyDescent="0.25"/>
  <cols>
    <col min="1" max="1" width="4.42578125" style="29" bestFit="1" customWidth="1"/>
    <col min="2" max="2" width="72.7109375" style="31" customWidth="1"/>
    <col min="3" max="7" width="15.7109375" style="32" customWidth="1"/>
    <col min="8" max="8" width="9.140625" style="28" customWidth="1"/>
    <col min="9" max="16384" width="9.140625" style="28"/>
  </cols>
  <sheetData>
    <row r="1" spans="1:7" x14ac:dyDescent="0.25">
      <c r="A1" s="340"/>
      <c r="B1" s="341"/>
      <c r="C1" s="341"/>
      <c r="D1" s="341"/>
      <c r="E1" s="341"/>
      <c r="F1" s="341"/>
      <c r="G1" s="342"/>
    </row>
    <row r="2" spans="1:7" s="38" customFormat="1" ht="16.5" customHeight="1" x14ac:dyDescent="0.25">
      <c r="A2" s="379" t="s">
        <v>132</v>
      </c>
      <c r="B2" s="380"/>
      <c r="C2" s="380"/>
      <c r="D2" s="380"/>
      <c r="E2" s="380"/>
      <c r="F2" s="380"/>
      <c r="G2" s="381"/>
    </row>
    <row r="3" spans="1:7" s="38" customFormat="1" ht="15.75" customHeight="1" x14ac:dyDescent="0.25">
      <c r="A3" s="40" t="s">
        <v>0</v>
      </c>
      <c r="B3" s="41" t="s">
        <v>1</v>
      </c>
      <c r="C3" s="343">
        <v>2024</v>
      </c>
      <c r="D3" s="343"/>
      <c r="E3" s="343"/>
      <c r="F3" s="343"/>
      <c r="G3" s="344"/>
    </row>
    <row r="4" spans="1:7" s="38" customFormat="1" ht="45" customHeight="1" x14ac:dyDescent="0.25">
      <c r="A4" s="40" t="s">
        <v>2</v>
      </c>
      <c r="B4" s="41" t="s">
        <v>140</v>
      </c>
      <c r="C4" s="345" t="s">
        <v>263</v>
      </c>
      <c r="D4" s="345"/>
      <c r="E4" s="345"/>
      <c r="F4" s="345"/>
      <c r="G4" s="346"/>
    </row>
    <row r="5" spans="1:7" s="38" customFormat="1" ht="15.75" customHeight="1" x14ac:dyDescent="0.25">
      <c r="A5" s="40" t="s">
        <v>3</v>
      </c>
      <c r="B5" s="41" t="s">
        <v>4</v>
      </c>
      <c r="C5" s="347" t="s">
        <v>283</v>
      </c>
      <c r="D5" s="347"/>
      <c r="E5" s="347"/>
      <c r="F5" s="347"/>
      <c r="G5" s="348"/>
    </row>
    <row r="6" spans="1:7" s="38" customFormat="1" x14ac:dyDescent="0.25">
      <c r="A6" s="40" t="s">
        <v>5</v>
      </c>
      <c r="B6" s="41" t="s">
        <v>143</v>
      </c>
      <c r="C6" s="345">
        <v>12</v>
      </c>
      <c r="D6" s="345"/>
      <c r="E6" s="345"/>
      <c r="F6" s="345"/>
      <c r="G6" s="346"/>
    </row>
    <row r="7" spans="1:7" s="38" customFormat="1" x14ac:dyDescent="0.25">
      <c r="A7" s="349" t="s">
        <v>6</v>
      </c>
      <c r="B7" s="350"/>
      <c r="C7" s="350"/>
      <c r="D7" s="350"/>
      <c r="E7" s="350"/>
      <c r="F7" s="350"/>
      <c r="G7" s="351"/>
    </row>
    <row r="8" spans="1:7" s="38" customFormat="1" x14ac:dyDescent="0.25">
      <c r="A8" s="349" t="s">
        <v>7</v>
      </c>
      <c r="B8" s="350"/>
      <c r="C8" s="350"/>
      <c r="D8" s="350"/>
      <c r="E8" s="350"/>
      <c r="F8" s="350"/>
      <c r="G8" s="351"/>
    </row>
    <row r="9" spans="1:7" s="38" customFormat="1" ht="15.75" customHeight="1" x14ac:dyDescent="0.25">
      <c r="A9" s="349" t="s">
        <v>8</v>
      </c>
      <c r="B9" s="350"/>
      <c r="C9" s="350"/>
      <c r="D9" s="350"/>
      <c r="E9" s="350"/>
      <c r="F9" s="350"/>
      <c r="G9" s="351"/>
    </row>
    <row r="10" spans="1:7" s="38" customFormat="1" ht="30" customHeight="1" x14ac:dyDescent="0.25">
      <c r="A10" s="352" t="s">
        <v>9</v>
      </c>
      <c r="B10" s="353"/>
      <c r="C10" s="353"/>
      <c r="D10" s="353" t="s">
        <v>10</v>
      </c>
      <c r="E10" s="353"/>
      <c r="F10" s="353"/>
      <c r="G10" s="378"/>
    </row>
    <row r="11" spans="1:7" s="38" customFormat="1" ht="45" customHeight="1" x14ac:dyDescent="0.25">
      <c r="A11" s="40">
        <v>1</v>
      </c>
      <c r="B11" s="392" t="s">
        <v>133</v>
      </c>
      <c r="C11" s="392"/>
      <c r="D11" s="383" t="s">
        <v>264</v>
      </c>
      <c r="E11" s="384"/>
      <c r="F11" s="384"/>
      <c r="G11" s="385"/>
    </row>
    <row r="12" spans="1:7" s="38" customFormat="1" ht="30" customHeight="1" x14ac:dyDescent="0.25">
      <c r="A12" s="40">
        <v>2</v>
      </c>
      <c r="B12" s="392" t="s">
        <v>11</v>
      </c>
      <c r="C12" s="392"/>
      <c r="D12" s="386">
        <v>3248.32</v>
      </c>
      <c r="E12" s="387"/>
      <c r="F12" s="386">
        <v>3772.76</v>
      </c>
      <c r="G12" s="391"/>
    </row>
    <row r="13" spans="1:7" s="38" customFormat="1" ht="15.75" customHeight="1" x14ac:dyDescent="0.25">
      <c r="A13" s="40">
        <v>3</v>
      </c>
      <c r="B13" s="392" t="s">
        <v>12</v>
      </c>
      <c r="C13" s="392"/>
      <c r="D13" s="383" t="s">
        <v>265</v>
      </c>
      <c r="E13" s="384"/>
      <c r="F13" s="384"/>
      <c r="G13" s="385"/>
    </row>
    <row r="14" spans="1:7" s="38" customFormat="1" x14ac:dyDescent="0.25">
      <c r="A14" s="40">
        <v>4</v>
      </c>
      <c r="B14" s="339" t="s">
        <v>13</v>
      </c>
      <c r="C14" s="339"/>
      <c r="D14" s="388">
        <v>2024</v>
      </c>
      <c r="E14" s="389"/>
      <c r="F14" s="389"/>
      <c r="G14" s="390"/>
    </row>
    <row r="15" spans="1:7" s="39" customFormat="1" ht="30" customHeight="1" x14ac:dyDescent="0.25">
      <c r="A15" s="376" t="s">
        <v>14</v>
      </c>
      <c r="B15" s="377"/>
      <c r="C15" s="377"/>
      <c r="D15" s="168" t="s">
        <v>266</v>
      </c>
      <c r="E15" s="285" t="s">
        <v>268</v>
      </c>
      <c r="F15" s="168" t="s">
        <v>267</v>
      </c>
      <c r="G15" s="288" t="s">
        <v>269</v>
      </c>
    </row>
    <row r="16" spans="1:7" s="39" customFormat="1" x14ac:dyDescent="0.25">
      <c r="A16" s="280">
        <v>1</v>
      </c>
      <c r="B16" s="356" t="s">
        <v>15</v>
      </c>
      <c r="C16" s="356"/>
      <c r="D16" s="57" t="s">
        <v>10</v>
      </c>
      <c r="E16" s="57" t="s">
        <v>10</v>
      </c>
      <c r="F16" s="57" t="s">
        <v>10</v>
      </c>
      <c r="G16" s="58" t="s">
        <v>10</v>
      </c>
    </row>
    <row r="17" spans="1:7" s="38" customFormat="1" ht="15.75" customHeight="1" x14ac:dyDescent="0.25">
      <c r="A17" s="44" t="s">
        <v>0</v>
      </c>
      <c r="B17" s="45" t="s">
        <v>16</v>
      </c>
      <c r="C17" s="43"/>
      <c r="D17" s="75">
        <f>D12</f>
        <v>3248.32</v>
      </c>
      <c r="E17" s="75">
        <f>D12</f>
        <v>3248.32</v>
      </c>
      <c r="F17" s="65">
        <f>F12</f>
        <v>3772.76</v>
      </c>
      <c r="G17" s="194">
        <f>F12</f>
        <v>3772.76</v>
      </c>
    </row>
    <row r="18" spans="1:7" s="38" customFormat="1" ht="15.75" customHeight="1" x14ac:dyDescent="0.25">
      <c r="A18" s="44" t="s">
        <v>2</v>
      </c>
      <c r="B18" s="45" t="s">
        <v>17</v>
      </c>
      <c r="C18" s="76"/>
      <c r="D18" s="127"/>
      <c r="E18" s="127"/>
      <c r="F18" s="127"/>
      <c r="G18" s="183"/>
    </row>
    <row r="19" spans="1:7" s="38" customFormat="1" ht="15.75" customHeight="1" x14ac:dyDescent="0.25">
      <c r="A19" s="44" t="s">
        <v>3</v>
      </c>
      <c r="B19" s="45" t="s">
        <v>18</v>
      </c>
      <c r="C19" s="109" t="s">
        <v>243</v>
      </c>
      <c r="D19" s="73">
        <f>40%*1412</f>
        <v>564.79999999999995</v>
      </c>
      <c r="E19" s="73">
        <f>40%*1412</f>
        <v>564.79999999999995</v>
      </c>
      <c r="F19" s="73">
        <f>40%*1412</f>
        <v>564.79999999999995</v>
      </c>
      <c r="G19" s="184">
        <f>40%*1412</f>
        <v>564.79999999999995</v>
      </c>
    </row>
    <row r="20" spans="1:7" s="38" customFormat="1" ht="15.75" customHeight="1" x14ac:dyDescent="0.25">
      <c r="A20" s="44" t="s">
        <v>5</v>
      </c>
      <c r="B20" s="45" t="s">
        <v>19</v>
      </c>
      <c r="C20" s="76"/>
      <c r="D20" s="127"/>
      <c r="E20" s="127"/>
      <c r="F20" s="127"/>
      <c r="G20" s="183"/>
    </row>
    <row r="21" spans="1:7" s="38" customFormat="1" ht="15.75" customHeight="1" x14ac:dyDescent="0.25">
      <c r="A21" s="44" t="s">
        <v>20</v>
      </c>
      <c r="B21" s="45" t="s">
        <v>204</v>
      </c>
      <c r="C21" s="76"/>
      <c r="D21" s="127"/>
      <c r="E21" s="127"/>
      <c r="F21" s="127"/>
      <c r="G21" s="183"/>
    </row>
    <row r="22" spans="1:7" s="38" customFormat="1" x14ac:dyDescent="0.25">
      <c r="A22" s="44" t="s">
        <v>21</v>
      </c>
      <c r="B22" s="45" t="s">
        <v>138</v>
      </c>
      <c r="C22" s="48"/>
      <c r="D22" s="128"/>
      <c r="E22" s="128"/>
      <c r="F22" s="128"/>
      <c r="G22" s="185"/>
    </row>
    <row r="23" spans="1:7" s="38" customFormat="1" ht="15.75" customHeight="1" x14ac:dyDescent="0.25">
      <c r="A23" s="44" t="s">
        <v>22</v>
      </c>
      <c r="B23" s="46" t="s">
        <v>139</v>
      </c>
      <c r="C23" s="48"/>
      <c r="D23" s="128"/>
      <c r="E23" s="128"/>
      <c r="F23" s="128"/>
      <c r="G23" s="185"/>
    </row>
    <row r="24" spans="1:7" s="39" customFormat="1" ht="15.75" customHeight="1" x14ac:dyDescent="0.25">
      <c r="A24" s="367" t="s">
        <v>152</v>
      </c>
      <c r="B24" s="368"/>
      <c r="C24" s="368"/>
      <c r="D24" s="87">
        <f>SUM(D17:D23)</f>
        <v>3813.12</v>
      </c>
      <c r="E24" s="87">
        <f>SUM(E17:E23)</f>
        <v>3813.12</v>
      </c>
      <c r="F24" s="87">
        <f>SUM(F17:F23)</f>
        <v>4337.5600000000004</v>
      </c>
      <c r="G24" s="186">
        <f>SUM(G17:G23)</f>
        <v>4337.5600000000004</v>
      </c>
    </row>
    <row r="25" spans="1:7" s="39" customFormat="1" x14ac:dyDescent="0.25">
      <c r="A25" s="370" t="s">
        <v>51</v>
      </c>
      <c r="B25" s="371"/>
      <c r="C25" s="371"/>
      <c r="D25" s="258"/>
      <c r="E25" s="258"/>
      <c r="F25" s="258"/>
      <c r="G25" s="259"/>
    </row>
    <row r="26" spans="1:7" s="38" customFormat="1" x14ac:dyDescent="0.25">
      <c r="A26" s="273">
        <v>2</v>
      </c>
      <c r="B26" s="354" t="s">
        <v>205</v>
      </c>
      <c r="C26" s="382"/>
      <c r="D26" s="69" t="s">
        <v>10</v>
      </c>
      <c r="E26" s="69" t="s">
        <v>10</v>
      </c>
      <c r="F26" s="69" t="s">
        <v>10</v>
      </c>
      <c r="G26" s="173" t="s">
        <v>10</v>
      </c>
    </row>
    <row r="27" spans="1:7" s="38" customFormat="1" x14ac:dyDescent="0.25">
      <c r="A27" s="49" t="s">
        <v>0</v>
      </c>
      <c r="B27" s="50" t="s">
        <v>28</v>
      </c>
      <c r="C27" s="55">
        <f>1/12</f>
        <v>8.3299999999999999E-2</v>
      </c>
      <c r="D27" s="67">
        <f>(D24)*C27</f>
        <v>317.63</v>
      </c>
      <c r="E27" s="67">
        <f>(E24)*C27</f>
        <v>317.63</v>
      </c>
      <c r="F27" s="67">
        <f>(F24)*C27</f>
        <v>361.32</v>
      </c>
      <c r="G27" s="187">
        <f>(G24)*C27</f>
        <v>361.32</v>
      </c>
    </row>
    <row r="28" spans="1:7" s="38" customFormat="1" x14ac:dyDescent="0.25">
      <c r="A28" s="49" t="s">
        <v>2</v>
      </c>
      <c r="B28" s="50" t="s">
        <v>148</v>
      </c>
      <c r="C28" s="55">
        <v>0.1111</v>
      </c>
      <c r="D28" s="67">
        <f>D24*C28</f>
        <v>423.64</v>
      </c>
      <c r="E28" s="67">
        <f>E24*C28</f>
        <v>423.64</v>
      </c>
      <c r="F28" s="67">
        <f>F24*C28</f>
        <v>481.9</v>
      </c>
      <c r="G28" s="187">
        <f>G24*C28</f>
        <v>481.9</v>
      </c>
    </row>
    <row r="29" spans="1:7" x14ac:dyDescent="0.25">
      <c r="A29" s="358" t="s">
        <v>27</v>
      </c>
      <c r="B29" s="359"/>
      <c r="C29" s="92">
        <f>SUM(C27:C28)</f>
        <v>0.19439999999999999</v>
      </c>
      <c r="D29" s="79">
        <f>SUM(D27:D28)</f>
        <v>741.27</v>
      </c>
      <c r="E29" s="79">
        <f>SUM(E27:E28)</f>
        <v>741.27</v>
      </c>
      <c r="F29" s="79">
        <f>SUM(F27:F28)</f>
        <v>843.22</v>
      </c>
      <c r="G29" s="188">
        <f>SUM(G27:G28)</f>
        <v>843.22</v>
      </c>
    </row>
    <row r="30" spans="1:7" ht="32.25" customHeight="1" x14ac:dyDescent="0.25">
      <c r="A30" s="362" t="s">
        <v>206</v>
      </c>
      <c r="B30" s="363"/>
      <c r="C30" s="363"/>
      <c r="D30" s="363"/>
      <c r="E30" s="363"/>
      <c r="F30" s="363"/>
      <c r="G30" s="364"/>
    </row>
    <row r="31" spans="1:7" x14ac:dyDescent="0.25">
      <c r="A31" s="270" t="s">
        <v>215</v>
      </c>
      <c r="B31" s="360" t="s">
        <v>25</v>
      </c>
      <c r="C31" s="361"/>
      <c r="D31" s="279"/>
      <c r="E31" s="279"/>
      <c r="F31" s="279"/>
      <c r="G31" s="189"/>
    </row>
    <row r="32" spans="1:7" x14ac:dyDescent="0.25">
      <c r="A32" s="49" t="s">
        <v>0</v>
      </c>
      <c r="B32" s="81" t="s">
        <v>207</v>
      </c>
      <c r="C32" s="55">
        <v>0.2</v>
      </c>
      <c r="D32" s="67">
        <f t="shared" ref="D32:D39" si="0">($D$24+D$29)*C32</f>
        <v>910.88</v>
      </c>
      <c r="E32" s="67">
        <f t="shared" ref="E32:E39" si="1">($E$24+E$29)*C32</f>
        <v>910.88</v>
      </c>
      <c r="F32" s="67">
        <f t="shared" ref="F32:F39" si="2">($F$24+F$29)*C32</f>
        <v>1036.1600000000001</v>
      </c>
      <c r="G32" s="187">
        <f>($G$24+G$29)*C32</f>
        <v>1036.1600000000001</v>
      </c>
    </row>
    <row r="33" spans="1:7" x14ac:dyDescent="0.25">
      <c r="A33" s="49" t="s">
        <v>2</v>
      </c>
      <c r="B33" s="81" t="s">
        <v>208</v>
      </c>
      <c r="C33" s="82">
        <v>1.4999999999999999E-2</v>
      </c>
      <c r="D33" s="67">
        <f t="shared" si="0"/>
        <v>68.319999999999993</v>
      </c>
      <c r="E33" s="67">
        <f t="shared" si="1"/>
        <v>68.319999999999993</v>
      </c>
      <c r="F33" s="67">
        <f t="shared" si="2"/>
        <v>77.709999999999994</v>
      </c>
      <c r="G33" s="187">
        <f t="shared" ref="G33:G39" si="3">($G$24+G$29)*C33</f>
        <v>77.709999999999994</v>
      </c>
    </row>
    <row r="34" spans="1:7" x14ac:dyDescent="0.25">
      <c r="A34" s="49" t="s">
        <v>3</v>
      </c>
      <c r="B34" s="81" t="s">
        <v>209</v>
      </c>
      <c r="C34" s="82">
        <v>0.01</v>
      </c>
      <c r="D34" s="67">
        <f t="shared" si="0"/>
        <v>45.54</v>
      </c>
      <c r="E34" s="67">
        <f t="shared" si="1"/>
        <v>45.54</v>
      </c>
      <c r="F34" s="67">
        <f t="shared" si="2"/>
        <v>51.81</v>
      </c>
      <c r="G34" s="187">
        <f t="shared" si="3"/>
        <v>51.81</v>
      </c>
    </row>
    <row r="35" spans="1:7" ht="31.5" x14ac:dyDescent="0.25">
      <c r="A35" s="49" t="s">
        <v>5</v>
      </c>
      <c r="B35" s="269" t="s">
        <v>210</v>
      </c>
      <c r="C35" s="82">
        <v>2E-3</v>
      </c>
      <c r="D35" s="67">
        <f t="shared" si="0"/>
        <v>9.11</v>
      </c>
      <c r="E35" s="67">
        <f t="shared" si="1"/>
        <v>9.11</v>
      </c>
      <c r="F35" s="67">
        <f t="shared" si="2"/>
        <v>10.36</v>
      </c>
      <c r="G35" s="187">
        <f t="shared" si="3"/>
        <v>10.36</v>
      </c>
    </row>
    <row r="36" spans="1:7" x14ac:dyDescent="0.25">
      <c r="A36" s="49" t="s">
        <v>20</v>
      </c>
      <c r="B36" s="81" t="s">
        <v>211</v>
      </c>
      <c r="C36" s="82">
        <v>2.5000000000000001E-2</v>
      </c>
      <c r="D36" s="67">
        <f t="shared" si="0"/>
        <v>113.86</v>
      </c>
      <c r="E36" s="67">
        <f t="shared" si="1"/>
        <v>113.86</v>
      </c>
      <c r="F36" s="67">
        <f t="shared" si="2"/>
        <v>129.52000000000001</v>
      </c>
      <c r="G36" s="187">
        <f t="shared" si="3"/>
        <v>129.52000000000001</v>
      </c>
    </row>
    <row r="37" spans="1:7" x14ac:dyDescent="0.25">
      <c r="A37" s="49" t="s">
        <v>21</v>
      </c>
      <c r="B37" s="108" t="s">
        <v>212</v>
      </c>
      <c r="C37" s="82">
        <v>0.08</v>
      </c>
      <c r="D37" s="67">
        <f t="shared" si="0"/>
        <v>364.35</v>
      </c>
      <c r="E37" s="67">
        <f t="shared" si="1"/>
        <v>364.35</v>
      </c>
      <c r="F37" s="67">
        <f t="shared" si="2"/>
        <v>414.46</v>
      </c>
      <c r="G37" s="187">
        <f t="shared" si="3"/>
        <v>414.46</v>
      </c>
    </row>
    <row r="38" spans="1:7" ht="30.75" customHeight="1" x14ac:dyDescent="0.25">
      <c r="A38" s="49" t="s">
        <v>22</v>
      </c>
      <c r="B38" s="269" t="s">
        <v>213</v>
      </c>
      <c r="C38" s="82">
        <v>0.03</v>
      </c>
      <c r="D38" s="67">
        <f t="shared" si="0"/>
        <v>136.63</v>
      </c>
      <c r="E38" s="67">
        <f t="shared" si="1"/>
        <v>136.63</v>
      </c>
      <c r="F38" s="67">
        <f t="shared" si="2"/>
        <v>155.41999999999999</v>
      </c>
      <c r="G38" s="187">
        <f t="shared" si="3"/>
        <v>155.41999999999999</v>
      </c>
    </row>
    <row r="39" spans="1:7" x14ac:dyDescent="0.25">
      <c r="A39" s="49" t="s">
        <v>26</v>
      </c>
      <c r="B39" s="107" t="s">
        <v>214</v>
      </c>
      <c r="C39" s="82">
        <v>6.0000000000000001E-3</v>
      </c>
      <c r="D39" s="67">
        <f t="shared" si="0"/>
        <v>27.33</v>
      </c>
      <c r="E39" s="67">
        <f t="shared" si="1"/>
        <v>27.33</v>
      </c>
      <c r="F39" s="67">
        <f t="shared" si="2"/>
        <v>31.08</v>
      </c>
      <c r="G39" s="187">
        <f t="shared" si="3"/>
        <v>31.08</v>
      </c>
    </row>
    <row r="40" spans="1:7" s="30" customFormat="1" x14ac:dyDescent="0.25">
      <c r="A40" s="358" t="s">
        <v>27</v>
      </c>
      <c r="B40" s="359"/>
      <c r="C40" s="56">
        <f>SUM(C32:C39)</f>
        <v>0.36799999999999999</v>
      </c>
      <c r="D40" s="83">
        <f>SUM(D32:D39)</f>
        <v>1676.02</v>
      </c>
      <c r="E40" s="83">
        <f>SUM(E32:E39)</f>
        <v>1676.02</v>
      </c>
      <c r="F40" s="83">
        <f>SUM(F32:F39)</f>
        <v>1906.52</v>
      </c>
      <c r="G40" s="190">
        <f>SUM(G32:G39)</f>
        <v>1906.52</v>
      </c>
    </row>
    <row r="41" spans="1:7" s="30" customFormat="1" x14ac:dyDescent="0.25">
      <c r="A41" s="74" t="s">
        <v>216</v>
      </c>
      <c r="B41" s="374" t="s">
        <v>217</v>
      </c>
      <c r="C41" s="375"/>
      <c r="D41" s="278"/>
      <c r="E41" s="278"/>
      <c r="F41" s="278"/>
      <c r="G41" s="191"/>
    </row>
    <row r="42" spans="1:7" s="30" customFormat="1" x14ac:dyDescent="0.25">
      <c r="A42" s="91" t="s">
        <v>0</v>
      </c>
      <c r="B42" s="53" t="s">
        <v>144</v>
      </c>
      <c r="C42" s="106"/>
      <c r="D42" s="77">
        <v>0</v>
      </c>
      <c r="E42" s="286">
        <v>129.66999999999999</v>
      </c>
      <c r="F42" s="77">
        <v>0</v>
      </c>
      <c r="G42" s="289">
        <f>129.67</f>
        <v>129.66999999999999</v>
      </c>
    </row>
    <row r="43" spans="1:7" s="30" customFormat="1" x14ac:dyDescent="0.25">
      <c r="A43" s="47" t="s">
        <v>2</v>
      </c>
      <c r="B43" s="46" t="s">
        <v>218</v>
      </c>
      <c r="C43" s="73">
        <v>581.85</v>
      </c>
      <c r="D43" s="75">
        <f>C43-(C43*0.99%)</f>
        <v>576.09</v>
      </c>
      <c r="E43" s="75">
        <f>C43-(C43*0.99%)</f>
        <v>576.09</v>
      </c>
      <c r="F43" s="75">
        <f>C43-(C43*0.99%)</f>
        <v>576.09</v>
      </c>
      <c r="G43" s="59">
        <f>C43-(C43*0.99%)</f>
        <v>576.09</v>
      </c>
    </row>
    <row r="44" spans="1:7" s="30" customFormat="1" x14ac:dyDescent="0.25">
      <c r="A44" s="49" t="s">
        <v>5</v>
      </c>
      <c r="B44" s="50" t="s">
        <v>134</v>
      </c>
      <c r="C44" s="84"/>
      <c r="D44" s="85">
        <v>0</v>
      </c>
      <c r="E44" s="85">
        <v>0</v>
      </c>
      <c r="F44" s="85">
        <v>0</v>
      </c>
      <c r="G44" s="64">
        <v>0</v>
      </c>
    </row>
    <row r="45" spans="1:7" s="30" customFormat="1" x14ac:dyDescent="0.25">
      <c r="A45" s="49" t="s">
        <v>20</v>
      </c>
      <c r="B45" s="50" t="s">
        <v>135</v>
      </c>
      <c r="C45" s="55">
        <v>0.5</v>
      </c>
      <c r="D45" s="85">
        <f>D17*C45*0.0199*2/12</f>
        <v>5.39</v>
      </c>
      <c r="E45" s="85">
        <f>E17*C45*0.0199*2/12</f>
        <v>5.39</v>
      </c>
      <c r="F45" s="85">
        <f>F17*C45*0.0199*2/12</f>
        <v>6.26</v>
      </c>
      <c r="G45" s="64">
        <f>G17*C45*0.0199*2/12</f>
        <v>6.26</v>
      </c>
    </row>
    <row r="46" spans="1:7" s="30" customFormat="1" x14ac:dyDescent="0.25">
      <c r="A46" s="49" t="s">
        <v>21</v>
      </c>
      <c r="B46" s="50" t="s">
        <v>136</v>
      </c>
      <c r="C46" s="247"/>
      <c r="D46" s="78">
        <v>45.8</v>
      </c>
      <c r="E46" s="78">
        <v>45.8</v>
      </c>
      <c r="F46" s="78">
        <v>45.8</v>
      </c>
      <c r="G46" s="78">
        <v>45.8</v>
      </c>
    </row>
    <row r="47" spans="1:7" s="30" customFormat="1" ht="15.75" customHeight="1" x14ac:dyDescent="0.25">
      <c r="A47" s="358" t="s">
        <v>23</v>
      </c>
      <c r="B47" s="359"/>
      <c r="C47" s="359"/>
      <c r="D47" s="86">
        <f>SUM(D42:D46)</f>
        <v>627.28</v>
      </c>
      <c r="E47" s="86">
        <f>SUM(E42:E46)</f>
        <v>756.95</v>
      </c>
      <c r="F47" s="86">
        <f>SUM(F42:F46)</f>
        <v>628.15</v>
      </c>
      <c r="G47" s="192">
        <f>SUM(G42:G46)</f>
        <v>757.82</v>
      </c>
    </row>
    <row r="48" spans="1:7" s="30" customFormat="1" ht="15.75" customHeight="1" x14ac:dyDescent="0.25">
      <c r="A48" s="370" t="s">
        <v>151</v>
      </c>
      <c r="B48" s="371"/>
      <c r="C48" s="371"/>
      <c r="D48" s="258"/>
      <c r="E48" s="258"/>
      <c r="F48" s="258"/>
      <c r="G48" s="259"/>
    </row>
    <row r="49" spans="1:7" s="30" customFormat="1" ht="15.75" customHeight="1" x14ac:dyDescent="0.25">
      <c r="A49" s="280" t="s">
        <v>141</v>
      </c>
      <c r="B49" s="97" t="s">
        <v>145</v>
      </c>
      <c r="C49" s="277"/>
      <c r="D49" s="57">
        <f>D29</f>
        <v>741.27</v>
      </c>
      <c r="E49" s="57">
        <f>E29</f>
        <v>741.27</v>
      </c>
      <c r="F49" s="57">
        <f>F29</f>
        <v>843.22</v>
      </c>
      <c r="G49" s="58">
        <f>G29</f>
        <v>843.22</v>
      </c>
    </row>
    <row r="50" spans="1:7" s="30" customFormat="1" ht="15.75" customHeight="1" x14ac:dyDescent="0.25">
      <c r="A50" s="280" t="s">
        <v>215</v>
      </c>
      <c r="B50" s="97" t="s">
        <v>146</v>
      </c>
      <c r="C50" s="277"/>
      <c r="D50" s="57">
        <f>D40</f>
        <v>1676.02</v>
      </c>
      <c r="E50" s="57">
        <f>E40</f>
        <v>1676.02</v>
      </c>
      <c r="F50" s="57">
        <f>F40</f>
        <v>1906.52</v>
      </c>
      <c r="G50" s="58">
        <f>G40</f>
        <v>1906.52</v>
      </c>
    </row>
    <row r="51" spans="1:7" s="30" customFormat="1" ht="15.75" customHeight="1" x14ac:dyDescent="0.25">
      <c r="A51" s="280" t="s">
        <v>216</v>
      </c>
      <c r="B51" s="97" t="s">
        <v>147</v>
      </c>
      <c r="C51" s="277"/>
      <c r="D51" s="57">
        <f>D47</f>
        <v>627.28</v>
      </c>
      <c r="E51" s="57">
        <f>E47</f>
        <v>756.95</v>
      </c>
      <c r="F51" s="57">
        <f>F47</f>
        <v>628.15</v>
      </c>
      <c r="G51" s="58">
        <f>G47</f>
        <v>757.82</v>
      </c>
    </row>
    <row r="52" spans="1:7" s="30" customFormat="1" ht="15.75" customHeight="1" x14ac:dyDescent="0.25">
      <c r="A52" s="367" t="s">
        <v>153</v>
      </c>
      <c r="B52" s="368"/>
      <c r="C52" s="368"/>
      <c r="D52" s="87">
        <f>SUM(D49:D51)</f>
        <v>3044.57</v>
      </c>
      <c r="E52" s="87">
        <f>SUM(E49:E51)</f>
        <v>3174.24</v>
      </c>
      <c r="F52" s="87">
        <f>SUM(F49:F51)</f>
        <v>3377.89</v>
      </c>
      <c r="G52" s="186">
        <f>SUM(G49:G51)</f>
        <v>3507.56</v>
      </c>
    </row>
    <row r="53" spans="1:7" s="30" customFormat="1" ht="15.75" customHeight="1" x14ac:dyDescent="0.25">
      <c r="A53" s="370" t="s">
        <v>162</v>
      </c>
      <c r="B53" s="371"/>
      <c r="C53" s="371"/>
      <c r="D53" s="258"/>
      <c r="E53" s="258"/>
      <c r="F53" s="258"/>
      <c r="G53" s="259"/>
    </row>
    <row r="54" spans="1:7" s="30" customFormat="1" ht="15.75" customHeight="1" x14ac:dyDescent="0.25">
      <c r="A54" s="273" t="s">
        <v>200</v>
      </c>
      <c r="B54" s="354" t="s">
        <v>32</v>
      </c>
      <c r="C54" s="355"/>
      <c r="D54" s="69" t="s">
        <v>10</v>
      </c>
      <c r="E54" s="69" t="s">
        <v>10</v>
      </c>
      <c r="F54" s="69" t="s">
        <v>10</v>
      </c>
      <c r="G54" s="173" t="s">
        <v>10</v>
      </c>
    </row>
    <row r="55" spans="1:7" s="30" customFormat="1" ht="15.75" customHeight="1" x14ac:dyDescent="0.25">
      <c r="A55" s="49" t="s">
        <v>0</v>
      </c>
      <c r="B55" s="50" t="s">
        <v>33</v>
      </c>
      <c r="C55" s="55">
        <v>4.5999999999999999E-3</v>
      </c>
      <c r="D55" s="67">
        <f>D$24*C55</f>
        <v>17.54</v>
      </c>
      <c r="E55" s="67">
        <f>E$24*C55</f>
        <v>17.54</v>
      </c>
      <c r="F55" s="67">
        <f>F$24*C55</f>
        <v>19.95</v>
      </c>
      <c r="G55" s="187">
        <f>G$24*C55</f>
        <v>19.95</v>
      </c>
    </row>
    <row r="56" spans="1:7" s="30" customFormat="1" ht="15.75" customHeight="1" x14ac:dyDescent="0.25">
      <c r="A56" s="49" t="s">
        <v>2</v>
      </c>
      <c r="B56" s="50" t="s">
        <v>34</v>
      </c>
      <c r="C56" s="55">
        <v>4.0000000000000002E-4</v>
      </c>
      <c r="D56" s="67">
        <f>D$24*C56</f>
        <v>1.53</v>
      </c>
      <c r="E56" s="67">
        <f>E$24*C56</f>
        <v>1.53</v>
      </c>
      <c r="F56" s="67">
        <f>F$24*C56</f>
        <v>1.74</v>
      </c>
      <c r="G56" s="187">
        <f>G$24*C56</f>
        <v>1.74</v>
      </c>
    </row>
    <row r="57" spans="1:7" s="30" customFormat="1" ht="15.75" customHeight="1" x14ac:dyDescent="0.25">
      <c r="A57" s="49" t="s">
        <v>3</v>
      </c>
      <c r="B57" s="50" t="s">
        <v>35</v>
      </c>
      <c r="C57" s="55">
        <v>1.9400000000000001E-2</v>
      </c>
      <c r="D57" s="67">
        <f>D$24*C57</f>
        <v>73.97</v>
      </c>
      <c r="E57" s="67">
        <f>E$24*C57</f>
        <v>73.97</v>
      </c>
      <c r="F57" s="67">
        <f>F$24*C57</f>
        <v>84.15</v>
      </c>
      <c r="G57" s="187">
        <f>G$24*C57</f>
        <v>84.15</v>
      </c>
    </row>
    <row r="58" spans="1:7" s="30" customFormat="1" ht="15.75" customHeight="1" x14ac:dyDescent="0.25">
      <c r="A58" s="49" t="s">
        <v>5</v>
      </c>
      <c r="B58" s="98" t="s">
        <v>174</v>
      </c>
      <c r="C58" s="55">
        <v>7.1000000000000004E-3</v>
      </c>
      <c r="D58" s="67">
        <f>D$24*C58</f>
        <v>27.07</v>
      </c>
      <c r="E58" s="67">
        <f>E$24*C58</f>
        <v>27.07</v>
      </c>
      <c r="F58" s="67">
        <f>F$24*C58</f>
        <v>30.8</v>
      </c>
      <c r="G58" s="187">
        <f>G$24*C58</f>
        <v>30.8</v>
      </c>
    </row>
    <row r="59" spans="1:7" s="30" customFormat="1" ht="32.25" customHeight="1" x14ac:dyDescent="0.25">
      <c r="A59" s="49" t="s">
        <v>20</v>
      </c>
      <c r="B59" s="50" t="s">
        <v>219</v>
      </c>
      <c r="C59" s="55">
        <v>0.04</v>
      </c>
      <c r="D59" s="67">
        <f>D$24*C59</f>
        <v>152.52000000000001</v>
      </c>
      <c r="E59" s="67">
        <f>E$24*C59</f>
        <v>152.52000000000001</v>
      </c>
      <c r="F59" s="67">
        <f>F$24*C59</f>
        <v>173.5</v>
      </c>
      <c r="G59" s="187">
        <f>G$24*C59</f>
        <v>173.5</v>
      </c>
    </row>
    <row r="60" spans="1:7" s="30" customFormat="1" x14ac:dyDescent="0.25">
      <c r="A60" s="367" t="s">
        <v>154</v>
      </c>
      <c r="B60" s="368"/>
      <c r="C60" s="368"/>
      <c r="D60" s="87">
        <f>SUM(D55:D59)</f>
        <v>272.63</v>
      </c>
      <c r="E60" s="87">
        <f>SUM(E55:E59)</f>
        <v>272.63</v>
      </c>
      <c r="F60" s="87">
        <f>SUM(F55:F59)</f>
        <v>310.14</v>
      </c>
      <c r="G60" s="186">
        <f>SUM(G55:G59)</f>
        <v>310.14</v>
      </c>
    </row>
    <row r="61" spans="1:7" s="30" customFormat="1" x14ac:dyDescent="0.25">
      <c r="A61" s="370" t="s">
        <v>163</v>
      </c>
      <c r="B61" s="371"/>
      <c r="C61" s="371"/>
      <c r="D61" s="258"/>
      <c r="E61" s="258"/>
      <c r="F61" s="258"/>
      <c r="G61" s="259"/>
    </row>
    <row r="62" spans="1:7" s="30" customFormat="1" x14ac:dyDescent="0.25">
      <c r="A62" s="273" t="s">
        <v>199</v>
      </c>
      <c r="B62" s="369" t="s">
        <v>36</v>
      </c>
      <c r="C62" s="369"/>
      <c r="D62" s="69" t="s">
        <v>10</v>
      </c>
      <c r="E62" s="69" t="s">
        <v>10</v>
      </c>
      <c r="F62" s="69" t="s">
        <v>10</v>
      </c>
      <c r="G62" s="173" t="s">
        <v>10</v>
      </c>
    </row>
    <row r="63" spans="1:7" s="30" customFormat="1" x14ac:dyDescent="0.25">
      <c r="A63" s="49" t="s">
        <v>0</v>
      </c>
      <c r="B63" s="50" t="s">
        <v>192</v>
      </c>
      <c r="C63" s="55">
        <f>C28/12</f>
        <v>9.2999999999999992E-3</v>
      </c>
      <c r="D63" s="67">
        <f t="shared" ref="D63:D68" si="4">(D$24+D$52+D$60+D$83)*C63</f>
        <v>66.650000000000006</v>
      </c>
      <c r="E63" s="67">
        <f t="shared" ref="E63:E68" si="5">(E$24+E$52+E$60+E$83)*C63</f>
        <v>67.86</v>
      </c>
      <c r="F63" s="67">
        <f t="shared" ref="F63:F68" si="6">(F$24+F$52+F$60+F$83)*C63</f>
        <v>74.98</v>
      </c>
      <c r="G63" s="187">
        <f t="shared" ref="G63:G68" si="7">(G$24+G$52+G$60+G$83)*C63</f>
        <v>76.180000000000007</v>
      </c>
    </row>
    <row r="64" spans="1:7" s="30" customFormat="1" x14ac:dyDescent="0.25">
      <c r="A64" s="49" t="s">
        <v>2</v>
      </c>
      <c r="B64" s="50" t="s">
        <v>193</v>
      </c>
      <c r="C64" s="55">
        <v>1.66E-2</v>
      </c>
      <c r="D64" s="67">
        <f t="shared" si="4"/>
        <v>118.97</v>
      </c>
      <c r="E64" s="67">
        <f t="shared" si="5"/>
        <v>121.12</v>
      </c>
      <c r="F64" s="67">
        <f t="shared" si="6"/>
        <v>133.83000000000001</v>
      </c>
      <c r="G64" s="187">
        <f t="shared" si="7"/>
        <v>135.99</v>
      </c>
    </row>
    <row r="65" spans="1:7" s="30" customFormat="1" x14ac:dyDescent="0.25">
      <c r="A65" s="49" t="s">
        <v>3</v>
      </c>
      <c r="B65" s="50" t="s">
        <v>194</v>
      </c>
      <c r="C65" s="55">
        <v>2.0000000000000001E-4</v>
      </c>
      <c r="D65" s="67">
        <f t="shared" si="4"/>
        <v>1.43</v>
      </c>
      <c r="E65" s="67">
        <f t="shared" si="5"/>
        <v>1.46</v>
      </c>
      <c r="F65" s="67">
        <f t="shared" si="6"/>
        <v>1.61</v>
      </c>
      <c r="G65" s="187">
        <f t="shared" si="7"/>
        <v>1.64</v>
      </c>
    </row>
    <row r="66" spans="1:7" s="30" customFormat="1" x14ac:dyDescent="0.25">
      <c r="A66" s="49" t="s">
        <v>5</v>
      </c>
      <c r="B66" s="50" t="s">
        <v>195</v>
      </c>
      <c r="C66" s="55">
        <v>2.7000000000000001E-3</v>
      </c>
      <c r="D66" s="67">
        <f t="shared" si="4"/>
        <v>19.350000000000001</v>
      </c>
      <c r="E66" s="67">
        <f t="shared" si="5"/>
        <v>19.7</v>
      </c>
      <c r="F66" s="67">
        <f t="shared" si="6"/>
        <v>21.77</v>
      </c>
      <c r="G66" s="187">
        <f t="shared" si="7"/>
        <v>22.12</v>
      </c>
    </row>
    <row r="67" spans="1:7" s="30" customFormat="1" x14ac:dyDescent="0.25">
      <c r="A67" s="49" t="s">
        <v>20</v>
      </c>
      <c r="B67" s="50" t="s">
        <v>196</v>
      </c>
      <c r="C67" s="55">
        <v>2.9999999999999997E-4</v>
      </c>
      <c r="D67" s="67">
        <f t="shared" si="4"/>
        <v>2.15</v>
      </c>
      <c r="E67" s="67">
        <f t="shared" si="5"/>
        <v>2.19</v>
      </c>
      <c r="F67" s="67">
        <f t="shared" si="6"/>
        <v>2.42</v>
      </c>
      <c r="G67" s="187">
        <f t="shared" si="7"/>
        <v>2.46</v>
      </c>
    </row>
    <row r="68" spans="1:7" s="30" customFormat="1" ht="15.75" customHeight="1" x14ac:dyDescent="0.25">
      <c r="A68" s="49" t="s">
        <v>21</v>
      </c>
      <c r="B68" s="276" t="s">
        <v>197</v>
      </c>
      <c r="C68" s="55">
        <v>0</v>
      </c>
      <c r="D68" s="67">
        <f t="shared" si="4"/>
        <v>0</v>
      </c>
      <c r="E68" s="67">
        <f t="shared" si="5"/>
        <v>0</v>
      </c>
      <c r="F68" s="67">
        <f t="shared" si="6"/>
        <v>0</v>
      </c>
      <c r="G68" s="187">
        <f t="shared" si="7"/>
        <v>0</v>
      </c>
    </row>
    <row r="69" spans="1:7" s="30" customFormat="1" x14ac:dyDescent="0.25">
      <c r="A69" s="358" t="s">
        <v>29</v>
      </c>
      <c r="B69" s="359"/>
      <c r="C69" s="56">
        <f>SUM(C63:C68)</f>
        <v>2.9100000000000001E-2</v>
      </c>
      <c r="D69" s="83">
        <f>SUM(D63:D68)</f>
        <v>208.55</v>
      </c>
      <c r="E69" s="83">
        <f>SUM(E63:E68)</f>
        <v>212.33</v>
      </c>
      <c r="F69" s="83">
        <f>SUM(F63:F68)</f>
        <v>234.61</v>
      </c>
      <c r="G69" s="190">
        <f>SUM(G63:G68)</f>
        <v>238.39</v>
      </c>
    </row>
    <row r="70" spans="1:7" s="30" customFormat="1" x14ac:dyDescent="0.25">
      <c r="A70" s="280"/>
      <c r="B70" s="277"/>
      <c r="C70" s="72"/>
      <c r="D70" s="72"/>
      <c r="E70" s="54"/>
      <c r="F70" s="54"/>
      <c r="G70" s="193"/>
    </row>
    <row r="71" spans="1:7" s="30" customFormat="1" x14ac:dyDescent="0.25">
      <c r="A71" s="280"/>
      <c r="B71" s="356" t="s">
        <v>201</v>
      </c>
      <c r="C71" s="357"/>
      <c r="D71" s="69" t="s">
        <v>10</v>
      </c>
      <c r="E71" s="69" t="s">
        <v>10</v>
      </c>
      <c r="F71" s="69" t="s">
        <v>10</v>
      </c>
      <c r="G71" s="173" t="s">
        <v>10</v>
      </c>
    </row>
    <row r="72" spans="1:7" s="30" customFormat="1" x14ac:dyDescent="0.25">
      <c r="A72" s="47" t="s">
        <v>0</v>
      </c>
      <c r="B72" s="271" t="s">
        <v>202</v>
      </c>
      <c r="C72" s="93">
        <v>0</v>
      </c>
      <c r="D72" s="65">
        <f>$C$23*C72</f>
        <v>0</v>
      </c>
      <c r="E72" s="65">
        <f>$C$23*C72</f>
        <v>0</v>
      </c>
      <c r="F72" s="65">
        <f>$C$23*C72</f>
        <v>0</v>
      </c>
      <c r="G72" s="194">
        <f>$C$23*C72</f>
        <v>0</v>
      </c>
    </row>
    <row r="73" spans="1:7" s="30" customFormat="1" ht="15.75" customHeight="1" x14ac:dyDescent="0.25">
      <c r="A73" s="358" t="s">
        <v>27</v>
      </c>
      <c r="B73" s="359"/>
      <c r="C73" s="94">
        <v>0</v>
      </c>
      <c r="D73" s="80">
        <f>D72</f>
        <v>0</v>
      </c>
      <c r="E73" s="80">
        <f>E72</f>
        <v>0</v>
      </c>
      <c r="F73" s="80">
        <f>F72</f>
        <v>0</v>
      </c>
      <c r="G73" s="63">
        <f>G72</f>
        <v>0</v>
      </c>
    </row>
    <row r="74" spans="1:7" s="30" customFormat="1" ht="15.75" customHeight="1" x14ac:dyDescent="0.25">
      <c r="A74" s="370" t="s">
        <v>30</v>
      </c>
      <c r="B74" s="371"/>
      <c r="C74" s="371"/>
      <c r="D74" s="258"/>
      <c r="E74" s="258"/>
      <c r="F74" s="258"/>
      <c r="G74" s="259"/>
    </row>
    <row r="75" spans="1:7" s="30" customFormat="1" ht="15.75" customHeight="1" x14ac:dyDescent="0.25">
      <c r="A75" s="372" t="s">
        <v>203</v>
      </c>
      <c r="B75" s="373"/>
      <c r="C75" s="373"/>
      <c r="D75" s="260"/>
      <c r="E75" s="260"/>
      <c r="F75" s="260"/>
      <c r="G75" s="261"/>
    </row>
    <row r="76" spans="1:7" s="30" customFormat="1" ht="15.75" customHeight="1" x14ac:dyDescent="0.25">
      <c r="A76" s="273">
        <v>4</v>
      </c>
      <c r="B76" s="354" t="s">
        <v>220</v>
      </c>
      <c r="C76" s="355"/>
      <c r="D76" s="69" t="s">
        <v>10</v>
      </c>
      <c r="E76" s="69" t="s">
        <v>10</v>
      </c>
      <c r="F76" s="69" t="s">
        <v>10</v>
      </c>
      <c r="G76" s="173" t="s">
        <v>10</v>
      </c>
    </row>
    <row r="77" spans="1:7" s="30" customFormat="1" ht="15.75" customHeight="1" x14ac:dyDescent="0.25">
      <c r="A77" s="49" t="s">
        <v>199</v>
      </c>
      <c r="B77" s="50" t="s">
        <v>198</v>
      </c>
      <c r="C77" s="55">
        <f>C69</f>
        <v>2.9100000000000001E-2</v>
      </c>
      <c r="D77" s="67">
        <f>D69</f>
        <v>208.55</v>
      </c>
      <c r="E77" s="67">
        <f>E69</f>
        <v>212.33</v>
      </c>
      <c r="F77" s="67">
        <f>F69</f>
        <v>234.61</v>
      </c>
      <c r="G77" s="187">
        <f>G69</f>
        <v>238.39</v>
      </c>
    </row>
    <row r="78" spans="1:7" s="30" customFormat="1" ht="15.75" customHeight="1" x14ac:dyDescent="0.25">
      <c r="A78" s="49" t="s">
        <v>221</v>
      </c>
      <c r="B78" s="50" t="s">
        <v>201</v>
      </c>
      <c r="C78" s="55">
        <v>0</v>
      </c>
      <c r="D78" s="67">
        <f>(D$24+D$52+D$60)*C78</f>
        <v>0</v>
      </c>
      <c r="E78" s="67">
        <f>(E$24+E$52+E$60)*C78</f>
        <v>0</v>
      </c>
      <c r="F78" s="67">
        <f>(F$24+F$52+F$60)*C78</f>
        <v>0</v>
      </c>
      <c r="G78" s="187">
        <f>(G$24+G$52+G$60)*C78</f>
        <v>0</v>
      </c>
    </row>
    <row r="79" spans="1:7" s="30" customFormat="1" ht="15.75" customHeight="1" x14ac:dyDescent="0.25">
      <c r="A79" s="358" t="s">
        <v>27</v>
      </c>
      <c r="B79" s="359"/>
      <c r="C79" s="92">
        <f>SUM(C77:C78)</f>
        <v>2.9100000000000001E-2</v>
      </c>
      <c r="D79" s="79">
        <f>SUM(D77:D78)</f>
        <v>208.55</v>
      </c>
      <c r="E79" s="79">
        <f>SUM(E77:E78)</f>
        <v>212.33</v>
      </c>
      <c r="F79" s="79">
        <f>SUM(F77:F78)</f>
        <v>234.61</v>
      </c>
      <c r="G79" s="188">
        <f>SUM(G77:G78)</f>
        <v>238.39</v>
      </c>
    </row>
    <row r="80" spans="1:7" s="30" customFormat="1" ht="15.75" customHeight="1" x14ac:dyDescent="0.25">
      <c r="A80" s="367" t="s">
        <v>155</v>
      </c>
      <c r="B80" s="368"/>
      <c r="C80" s="368"/>
      <c r="D80" s="87">
        <f>SUM(D73+D79)</f>
        <v>208.55</v>
      </c>
      <c r="E80" s="87">
        <f>SUM(E73+E79)</f>
        <v>212.33</v>
      </c>
      <c r="F80" s="87">
        <f>SUM(F73+F79)</f>
        <v>234.61</v>
      </c>
      <c r="G80" s="186">
        <f>SUM(G73+G79)</f>
        <v>238.39</v>
      </c>
    </row>
    <row r="81" spans="1:7" s="30" customFormat="1" ht="15.75" customHeight="1" x14ac:dyDescent="0.25">
      <c r="A81" s="365" t="s">
        <v>164</v>
      </c>
      <c r="B81" s="366"/>
      <c r="C81" s="366"/>
      <c r="D81" s="262"/>
      <c r="E81" s="262"/>
      <c r="F81" s="262"/>
      <c r="G81" s="263"/>
    </row>
    <row r="82" spans="1:7" s="30" customFormat="1" ht="15.75" customHeight="1" x14ac:dyDescent="0.25">
      <c r="A82" s="273">
        <v>5</v>
      </c>
      <c r="B82" s="354" t="s">
        <v>24</v>
      </c>
      <c r="C82" s="355"/>
      <c r="D82" s="69" t="s">
        <v>10</v>
      </c>
      <c r="E82" s="69" t="s">
        <v>10</v>
      </c>
      <c r="F82" s="69" t="s">
        <v>10</v>
      </c>
      <c r="G82" s="173" t="s">
        <v>10</v>
      </c>
    </row>
    <row r="83" spans="1:7" s="30" customFormat="1" ht="15.75" customHeight="1" x14ac:dyDescent="0.25">
      <c r="A83" s="49" t="s">
        <v>0</v>
      </c>
      <c r="B83" s="401" t="s">
        <v>222</v>
      </c>
      <c r="C83" s="401"/>
      <c r="D83" s="78">
        <f>Uniformes!H7</f>
        <v>36.619999999999997</v>
      </c>
      <c r="E83" s="78">
        <f>Uniformes!H7</f>
        <v>36.619999999999997</v>
      </c>
      <c r="F83" s="78">
        <f>Uniformes!H7</f>
        <v>36.619999999999997</v>
      </c>
      <c r="G83" s="62">
        <f>Uniformes!H7</f>
        <v>36.619999999999997</v>
      </c>
    </row>
    <row r="84" spans="1:7" s="30" customFormat="1" ht="15.75" customHeight="1" x14ac:dyDescent="0.25">
      <c r="A84" s="49" t="s">
        <v>2</v>
      </c>
      <c r="B84" s="401" t="s">
        <v>223</v>
      </c>
      <c r="C84" s="401"/>
      <c r="D84" s="78">
        <f>Materiais!H18</f>
        <v>64.819999999999993</v>
      </c>
      <c r="E84" s="78">
        <f>Materiais!H19</f>
        <v>64.819999999999993</v>
      </c>
      <c r="F84" s="78">
        <f>Materiais!H20</f>
        <v>44.57</v>
      </c>
      <c r="G84" s="62">
        <f>Materiais!H21</f>
        <v>44.57</v>
      </c>
    </row>
    <row r="85" spans="1:7" s="30" customFormat="1" ht="15.75" customHeight="1" x14ac:dyDescent="0.25">
      <c r="A85" s="49" t="s">
        <v>3</v>
      </c>
      <c r="B85" s="401" t="s">
        <v>187</v>
      </c>
      <c r="C85" s="401"/>
      <c r="D85" s="78">
        <f>Equipamentos!H19</f>
        <v>1312.5</v>
      </c>
      <c r="E85" s="78">
        <f>Equipamentos!H20</f>
        <v>1312.5</v>
      </c>
      <c r="F85" s="78">
        <f>Equipamentos!H21</f>
        <v>922.4</v>
      </c>
      <c r="G85" s="62">
        <f>Equipamentos!H22</f>
        <v>922.4</v>
      </c>
    </row>
    <row r="86" spans="1:7" s="30" customFormat="1" ht="15.75" customHeight="1" x14ac:dyDescent="0.25">
      <c r="A86" s="49" t="s">
        <v>5</v>
      </c>
      <c r="B86" s="401" t="s">
        <v>137</v>
      </c>
      <c r="C86" s="401"/>
      <c r="D86" s="78">
        <v>0</v>
      </c>
      <c r="E86" s="78">
        <v>0</v>
      </c>
      <c r="F86" s="78">
        <v>0</v>
      </c>
      <c r="G86" s="62">
        <v>0</v>
      </c>
    </row>
    <row r="87" spans="1:7" s="30" customFormat="1" ht="15.75" customHeight="1" x14ac:dyDescent="0.25">
      <c r="A87" s="367" t="s">
        <v>156</v>
      </c>
      <c r="B87" s="368"/>
      <c r="C87" s="368"/>
      <c r="D87" s="66">
        <f>SUM(D83:D86)</f>
        <v>1413.94</v>
      </c>
      <c r="E87" s="66">
        <f>SUM(E83:E86)</f>
        <v>1413.94</v>
      </c>
      <c r="F87" s="66">
        <f>SUM(F83:F86)</f>
        <v>1003.59</v>
      </c>
      <c r="G87" s="61">
        <f>SUM(G83:G86)</f>
        <v>1003.59</v>
      </c>
    </row>
    <row r="88" spans="1:7" s="30" customFormat="1" ht="30" customHeight="1" x14ac:dyDescent="0.25">
      <c r="A88" s="365" t="s">
        <v>37</v>
      </c>
      <c r="B88" s="366"/>
      <c r="C88" s="366"/>
      <c r="D88" s="70">
        <f>D87+D80+D60+D52+D24</f>
        <v>8752.81</v>
      </c>
      <c r="E88" s="70">
        <f>E87+E80+E60+E52+E24</f>
        <v>8886.26</v>
      </c>
      <c r="F88" s="70">
        <f>F87+F80+F60+F52+F24</f>
        <v>9263.7900000000009</v>
      </c>
      <c r="G88" s="171">
        <f>G87+G80+G60+G52+G24</f>
        <v>9397.24</v>
      </c>
    </row>
    <row r="89" spans="1:7" s="30" customFormat="1" ht="19.5" customHeight="1" x14ac:dyDescent="0.25">
      <c r="A89" s="370" t="s">
        <v>165</v>
      </c>
      <c r="B89" s="371"/>
      <c r="C89" s="371"/>
      <c r="D89" s="258"/>
      <c r="E89" s="258"/>
      <c r="F89" s="258"/>
      <c r="G89" s="259"/>
    </row>
    <row r="90" spans="1:7" s="30" customFormat="1" x14ac:dyDescent="0.25">
      <c r="A90" s="273">
        <v>6</v>
      </c>
      <c r="B90" s="354" t="s">
        <v>38</v>
      </c>
      <c r="C90" s="382"/>
      <c r="D90" s="69" t="s">
        <v>10</v>
      </c>
      <c r="E90" s="69" t="s">
        <v>10</v>
      </c>
      <c r="F90" s="69" t="s">
        <v>10</v>
      </c>
      <c r="G90" s="173" t="s">
        <v>10</v>
      </c>
    </row>
    <row r="91" spans="1:7" s="30" customFormat="1" x14ac:dyDescent="0.25">
      <c r="A91" s="273" t="s">
        <v>0</v>
      </c>
      <c r="B91" s="50" t="s">
        <v>39</v>
      </c>
      <c r="C91" s="55">
        <v>0.03</v>
      </c>
      <c r="D91" s="67">
        <f>+D88*C91</f>
        <v>262.58</v>
      </c>
      <c r="E91" s="67">
        <f>+E88*C91</f>
        <v>266.58999999999997</v>
      </c>
      <c r="F91" s="67">
        <f>+F88*C91</f>
        <v>277.91000000000003</v>
      </c>
      <c r="G91" s="187">
        <f>+G88*C91</f>
        <v>281.92</v>
      </c>
    </row>
    <row r="92" spans="1:7" s="30" customFormat="1" x14ac:dyDescent="0.25">
      <c r="A92" s="273" t="s">
        <v>2</v>
      </c>
      <c r="B92" s="50" t="s">
        <v>40</v>
      </c>
      <c r="C92" s="55">
        <v>6.7900000000000002E-2</v>
      </c>
      <c r="D92" s="78">
        <f>(D88+D91)*C92</f>
        <v>612.14</v>
      </c>
      <c r="E92" s="78">
        <f>(E88+E91)*C92</f>
        <v>621.48</v>
      </c>
      <c r="F92" s="78">
        <f>(F88+F91)*C92</f>
        <v>647.88</v>
      </c>
      <c r="G92" s="62">
        <f>(G88+G91)*C92</f>
        <v>657.21</v>
      </c>
    </row>
    <row r="93" spans="1:7" s="30" customFormat="1" ht="31.5" x14ac:dyDescent="0.25">
      <c r="A93" s="396" t="s">
        <v>3</v>
      </c>
      <c r="B93" s="50" t="s">
        <v>50</v>
      </c>
      <c r="C93" s="55">
        <f>1-C101</f>
        <v>0.85750000000000004</v>
      </c>
      <c r="D93" s="67">
        <f>D88+D91+D92</f>
        <v>9627.5300000000007</v>
      </c>
      <c r="E93" s="67">
        <f>E88+E91+E92</f>
        <v>9774.33</v>
      </c>
      <c r="F93" s="67">
        <f>F88+F91+F92</f>
        <v>10189.58</v>
      </c>
      <c r="G93" s="187">
        <f>G88+G91+G92</f>
        <v>10336.370000000001</v>
      </c>
    </row>
    <row r="94" spans="1:7" s="30" customFormat="1" x14ac:dyDescent="0.25">
      <c r="A94" s="396"/>
      <c r="B94" s="276" t="s">
        <v>41</v>
      </c>
      <c r="C94" s="89"/>
      <c r="D94" s="78">
        <f>D93/C93</f>
        <v>11227.44</v>
      </c>
      <c r="E94" s="78">
        <f>E93/C93</f>
        <v>11398.64</v>
      </c>
      <c r="F94" s="78">
        <f>F93/C93</f>
        <v>11882.89</v>
      </c>
      <c r="G94" s="62">
        <f>G93/C93</f>
        <v>12054.08</v>
      </c>
    </row>
    <row r="95" spans="1:7" s="30" customFormat="1" x14ac:dyDescent="0.25">
      <c r="A95" s="396"/>
      <c r="B95" s="276" t="s">
        <v>42</v>
      </c>
      <c r="C95" s="68"/>
      <c r="D95" s="88"/>
      <c r="E95" s="88"/>
      <c r="F95" s="88"/>
      <c r="G95" s="195"/>
    </row>
    <row r="96" spans="1:7" s="30" customFormat="1" x14ac:dyDescent="0.25">
      <c r="A96" s="396"/>
      <c r="B96" s="50" t="s">
        <v>130</v>
      </c>
      <c r="C96" s="55">
        <v>1.6500000000000001E-2</v>
      </c>
      <c r="D96" s="67">
        <f>D94*C96</f>
        <v>185.25</v>
      </c>
      <c r="E96" s="67">
        <f>E94*C96</f>
        <v>188.08</v>
      </c>
      <c r="F96" s="67">
        <f>F94*C96</f>
        <v>196.07</v>
      </c>
      <c r="G96" s="187">
        <f>G94*C96</f>
        <v>198.89</v>
      </c>
    </row>
    <row r="97" spans="1:7" s="30" customFormat="1" x14ac:dyDescent="0.25">
      <c r="A97" s="396"/>
      <c r="B97" s="50" t="s">
        <v>131</v>
      </c>
      <c r="C97" s="55">
        <v>7.5999999999999998E-2</v>
      </c>
      <c r="D97" s="67">
        <f>D94*C97</f>
        <v>853.29</v>
      </c>
      <c r="E97" s="67">
        <f>E94*C97</f>
        <v>866.3</v>
      </c>
      <c r="F97" s="67">
        <f>F94*C97</f>
        <v>903.1</v>
      </c>
      <c r="G97" s="187">
        <f>G94*C97</f>
        <v>916.11</v>
      </c>
    </row>
    <row r="98" spans="1:7" s="30" customFormat="1" x14ac:dyDescent="0.25">
      <c r="A98" s="396"/>
      <c r="B98" s="51" t="s">
        <v>43</v>
      </c>
      <c r="C98" s="89"/>
      <c r="D98" s="78"/>
      <c r="E98" s="78"/>
      <c r="F98" s="78"/>
      <c r="G98" s="62"/>
    </row>
    <row r="99" spans="1:7" s="30" customFormat="1" x14ac:dyDescent="0.25">
      <c r="A99" s="396"/>
      <c r="B99" s="51" t="s">
        <v>44</v>
      </c>
      <c r="C99" s="95"/>
      <c r="D99" s="90"/>
      <c r="E99" s="90"/>
      <c r="F99" s="90"/>
      <c r="G99" s="196"/>
    </row>
    <row r="100" spans="1:7" s="30" customFormat="1" x14ac:dyDescent="0.25">
      <c r="A100" s="396"/>
      <c r="B100" s="50" t="s">
        <v>142</v>
      </c>
      <c r="C100" s="55">
        <v>0.05</v>
      </c>
      <c r="D100" s="67">
        <f>D94*C100</f>
        <v>561.37</v>
      </c>
      <c r="E100" s="67">
        <f>E94*C100</f>
        <v>569.92999999999995</v>
      </c>
      <c r="F100" s="67">
        <f>F94*C100</f>
        <v>594.14</v>
      </c>
      <c r="G100" s="187">
        <f>G94*C100</f>
        <v>602.70000000000005</v>
      </c>
    </row>
    <row r="101" spans="1:7" s="30" customFormat="1" x14ac:dyDescent="0.25">
      <c r="A101" s="273"/>
      <c r="B101" s="99" t="s">
        <v>45</v>
      </c>
      <c r="C101" s="100">
        <f>SUM(C96:C100)</f>
        <v>0.14249999999999999</v>
      </c>
      <c r="D101" s="101">
        <f>SUM(D96:D100)</f>
        <v>1599.91</v>
      </c>
      <c r="E101" s="101">
        <f>SUM(E96:E100)</f>
        <v>1624.31</v>
      </c>
      <c r="F101" s="101">
        <f>SUM(F96:F100)</f>
        <v>1693.31</v>
      </c>
      <c r="G101" s="197">
        <f>SUM(G96:G100)</f>
        <v>1717.7</v>
      </c>
    </row>
    <row r="102" spans="1:7" s="30" customFormat="1" ht="15.75" customHeight="1" x14ac:dyDescent="0.25">
      <c r="A102" s="358" t="s">
        <v>46</v>
      </c>
      <c r="B102" s="359"/>
      <c r="C102" s="359"/>
      <c r="D102" s="86">
        <f>SUM(D91:D92)+D101</f>
        <v>2474.63</v>
      </c>
      <c r="E102" s="86">
        <f>SUM(E91:E92)+E101</f>
        <v>2512.38</v>
      </c>
      <c r="F102" s="86">
        <f>SUM(F91:F92)+F101</f>
        <v>2619.1</v>
      </c>
      <c r="G102" s="192">
        <f>SUM(G91:G92)+G101</f>
        <v>2656.83</v>
      </c>
    </row>
    <row r="103" spans="1:7" s="30" customFormat="1" ht="15.75" customHeight="1" x14ac:dyDescent="0.25">
      <c r="A103" s="397" t="s">
        <v>47</v>
      </c>
      <c r="B103" s="398"/>
      <c r="C103" s="398"/>
      <c r="D103" s="71" t="s">
        <v>10</v>
      </c>
      <c r="E103" s="71" t="s">
        <v>10</v>
      </c>
      <c r="F103" s="71" t="s">
        <v>10</v>
      </c>
      <c r="G103" s="198" t="s">
        <v>10</v>
      </c>
    </row>
    <row r="104" spans="1:7" s="30" customFormat="1" x14ac:dyDescent="0.25">
      <c r="A104" s="49" t="s">
        <v>0</v>
      </c>
      <c r="B104" s="399" t="s">
        <v>48</v>
      </c>
      <c r="C104" s="399"/>
      <c r="D104" s="88">
        <f>D24</f>
        <v>3813.12</v>
      </c>
      <c r="E104" s="88">
        <f>E24</f>
        <v>3813.12</v>
      </c>
      <c r="F104" s="88">
        <f>F24</f>
        <v>4337.5600000000004</v>
      </c>
      <c r="G104" s="195">
        <f>G24</f>
        <v>4337.5600000000004</v>
      </c>
    </row>
    <row r="105" spans="1:7" s="30" customFormat="1" x14ac:dyDescent="0.25">
      <c r="A105" s="49" t="s">
        <v>2</v>
      </c>
      <c r="B105" s="399" t="s">
        <v>159</v>
      </c>
      <c r="C105" s="399"/>
      <c r="D105" s="88">
        <f>D52</f>
        <v>3044.57</v>
      </c>
      <c r="E105" s="88">
        <f>E52</f>
        <v>3174.24</v>
      </c>
      <c r="F105" s="88">
        <f>F52</f>
        <v>3377.89</v>
      </c>
      <c r="G105" s="195">
        <f>G52</f>
        <v>3507.56</v>
      </c>
    </row>
    <row r="106" spans="1:7" s="30" customFormat="1" x14ac:dyDescent="0.25">
      <c r="A106" s="49" t="s">
        <v>3</v>
      </c>
      <c r="B106" s="399" t="s">
        <v>157</v>
      </c>
      <c r="C106" s="399"/>
      <c r="D106" s="88">
        <f>D60</f>
        <v>272.63</v>
      </c>
      <c r="E106" s="88">
        <f>E60</f>
        <v>272.63</v>
      </c>
      <c r="F106" s="88">
        <f>F60</f>
        <v>310.14</v>
      </c>
      <c r="G106" s="195">
        <f>G60</f>
        <v>310.14</v>
      </c>
    </row>
    <row r="107" spans="1:7" s="30" customFormat="1" x14ac:dyDescent="0.25">
      <c r="A107" s="49" t="s">
        <v>5</v>
      </c>
      <c r="B107" s="399" t="s">
        <v>150</v>
      </c>
      <c r="C107" s="399"/>
      <c r="D107" s="88">
        <f>D80</f>
        <v>208.55</v>
      </c>
      <c r="E107" s="88">
        <f>E80</f>
        <v>212.33</v>
      </c>
      <c r="F107" s="88">
        <f>F80</f>
        <v>234.61</v>
      </c>
      <c r="G107" s="195">
        <f>G80</f>
        <v>238.39</v>
      </c>
    </row>
    <row r="108" spans="1:7" s="30" customFormat="1" x14ac:dyDescent="0.25">
      <c r="A108" s="49" t="s">
        <v>20</v>
      </c>
      <c r="B108" s="399" t="s">
        <v>158</v>
      </c>
      <c r="C108" s="399"/>
      <c r="D108" s="88">
        <f>D87</f>
        <v>1413.94</v>
      </c>
      <c r="E108" s="88">
        <f>E87</f>
        <v>1413.94</v>
      </c>
      <c r="F108" s="88">
        <f>F87</f>
        <v>1003.59</v>
      </c>
      <c r="G108" s="195">
        <f>G87</f>
        <v>1003.59</v>
      </c>
    </row>
    <row r="109" spans="1:7" s="30" customFormat="1" ht="15.75" customHeight="1" x14ac:dyDescent="0.25">
      <c r="A109" s="396" t="s">
        <v>160</v>
      </c>
      <c r="B109" s="400"/>
      <c r="C109" s="400"/>
      <c r="D109" s="69">
        <f>SUM(D104:D108)</f>
        <v>8752.81</v>
      </c>
      <c r="E109" s="69">
        <f>SUM(E104:E108)</f>
        <v>8886.26</v>
      </c>
      <c r="F109" s="69">
        <f>SUM(F104:F108)</f>
        <v>9263.7900000000009</v>
      </c>
      <c r="G109" s="173">
        <f>SUM(G104:G108)</f>
        <v>9397.24</v>
      </c>
    </row>
    <row r="110" spans="1:7" s="30" customFormat="1" x14ac:dyDescent="0.25">
      <c r="A110" s="273" t="s">
        <v>20</v>
      </c>
      <c r="B110" s="399" t="s">
        <v>161</v>
      </c>
      <c r="C110" s="399"/>
      <c r="D110" s="88">
        <f>D102</f>
        <v>2474.63</v>
      </c>
      <c r="E110" s="88">
        <f>E102</f>
        <v>2512.38</v>
      </c>
      <c r="F110" s="88">
        <f>F102</f>
        <v>2619.1</v>
      </c>
      <c r="G110" s="195">
        <f>G102</f>
        <v>2656.83</v>
      </c>
    </row>
    <row r="111" spans="1:7" s="30" customFormat="1" ht="16.5" customHeight="1" thickBot="1" x14ac:dyDescent="0.3">
      <c r="A111" s="393" t="s">
        <v>49</v>
      </c>
      <c r="B111" s="394"/>
      <c r="C111" s="394"/>
      <c r="D111" s="104">
        <f>SUM(D109:D110)</f>
        <v>11227.44</v>
      </c>
      <c r="E111" s="104">
        <f>SUM(E109:E110)</f>
        <v>11398.64</v>
      </c>
      <c r="F111" s="104">
        <f>SUM(F109:F110)</f>
        <v>11882.89</v>
      </c>
      <c r="G111" s="199">
        <f>SUM(G109:G110)</f>
        <v>12054.07</v>
      </c>
    </row>
    <row r="112" spans="1:7" x14ac:dyDescent="0.25">
      <c r="C112" s="31"/>
      <c r="D112" s="31"/>
      <c r="E112" s="31"/>
      <c r="F112" s="31"/>
      <c r="G112" s="31"/>
    </row>
    <row r="113" spans="2:7" x14ac:dyDescent="0.25">
      <c r="B113" s="28"/>
      <c r="C113" s="31"/>
      <c r="D113" s="31"/>
      <c r="E113" s="31"/>
      <c r="F113" s="31"/>
      <c r="G113" s="31"/>
    </row>
    <row r="114" spans="2:7" x14ac:dyDescent="0.25">
      <c r="B114" s="28"/>
      <c r="C114" s="31"/>
      <c r="D114" s="31"/>
      <c r="E114" s="31"/>
      <c r="F114" s="31"/>
      <c r="G114" s="31"/>
    </row>
    <row r="115" spans="2:7" x14ac:dyDescent="0.25">
      <c r="B115" s="28"/>
      <c r="C115" s="395"/>
      <c r="D115" s="395"/>
      <c r="E115" s="395"/>
      <c r="F115" s="395"/>
      <c r="G115" s="395"/>
    </row>
    <row r="116" spans="2:7" x14ac:dyDescent="0.25">
      <c r="B116" s="28"/>
      <c r="C116" s="31"/>
      <c r="D116" s="31"/>
      <c r="E116" s="31"/>
      <c r="F116" s="31"/>
      <c r="G116" s="31"/>
    </row>
    <row r="118" spans="2:7" x14ac:dyDescent="0.25">
      <c r="B118" s="36"/>
    </row>
    <row r="123" spans="2:7" x14ac:dyDescent="0.25">
      <c r="B123" s="28"/>
    </row>
  </sheetData>
  <mergeCells count="68">
    <mergeCell ref="B82:C82"/>
    <mergeCell ref="A88:C88"/>
    <mergeCell ref="A87:C87"/>
    <mergeCell ref="B86:C86"/>
    <mergeCell ref="B90:C90"/>
    <mergeCell ref="A89:C89"/>
    <mergeCell ref="B83:C83"/>
    <mergeCell ref="B84:C84"/>
    <mergeCell ref="B85:C85"/>
    <mergeCell ref="A111:C111"/>
    <mergeCell ref="C115:G115"/>
    <mergeCell ref="A93:A100"/>
    <mergeCell ref="A102:C102"/>
    <mergeCell ref="A103:C103"/>
    <mergeCell ref="B106:C106"/>
    <mergeCell ref="B110:C110"/>
    <mergeCell ref="B104:C104"/>
    <mergeCell ref="B105:C105"/>
    <mergeCell ref="A109:C109"/>
    <mergeCell ref="B107:C107"/>
    <mergeCell ref="B108:C108"/>
    <mergeCell ref="A15:C15"/>
    <mergeCell ref="D10:G10"/>
    <mergeCell ref="A2:G2"/>
    <mergeCell ref="A29:B29"/>
    <mergeCell ref="A24:C24"/>
    <mergeCell ref="B26:C26"/>
    <mergeCell ref="A25:C25"/>
    <mergeCell ref="B16:C16"/>
    <mergeCell ref="D11:G11"/>
    <mergeCell ref="D12:E12"/>
    <mergeCell ref="D13:G13"/>
    <mergeCell ref="D14:G14"/>
    <mergeCell ref="F12:G12"/>
    <mergeCell ref="B11:C11"/>
    <mergeCell ref="B12:C12"/>
    <mergeCell ref="B13:C13"/>
    <mergeCell ref="A81:C81"/>
    <mergeCell ref="A40:B40"/>
    <mergeCell ref="A52:C52"/>
    <mergeCell ref="B54:C54"/>
    <mergeCell ref="B62:C62"/>
    <mergeCell ref="A60:C60"/>
    <mergeCell ref="A47:C47"/>
    <mergeCell ref="A79:B79"/>
    <mergeCell ref="A80:C80"/>
    <mergeCell ref="A48:C48"/>
    <mergeCell ref="A53:C53"/>
    <mergeCell ref="A61:C61"/>
    <mergeCell ref="A74:C74"/>
    <mergeCell ref="A75:C75"/>
    <mergeCell ref="B41:C41"/>
    <mergeCell ref="A73:B73"/>
    <mergeCell ref="B76:C76"/>
    <mergeCell ref="B71:C71"/>
    <mergeCell ref="A69:B69"/>
    <mergeCell ref="B31:C31"/>
    <mergeCell ref="A30:G30"/>
    <mergeCell ref="B14:C14"/>
    <mergeCell ref="A1:G1"/>
    <mergeCell ref="C3:G3"/>
    <mergeCell ref="C4:G4"/>
    <mergeCell ref="C5:G5"/>
    <mergeCell ref="C6:G6"/>
    <mergeCell ref="A7:G7"/>
    <mergeCell ref="A8:G8"/>
    <mergeCell ref="A9:G9"/>
    <mergeCell ref="A10:C10"/>
  </mergeCells>
  <hyperlinks>
    <hyperlink ref="B39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8" orientation="portrait"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4"/>
  <sheetViews>
    <sheetView view="pageBreakPreview" topLeftCell="A19" zoomScaleNormal="115" zoomScaleSheetLayoutView="100" workbookViewId="0">
      <selection activeCell="A6" sqref="A6"/>
    </sheetView>
  </sheetViews>
  <sheetFormatPr defaultColWidth="9.140625" defaultRowHeight="15.75" x14ac:dyDescent="0.25"/>
  <cols>
    <col min="1" max="1" width="4.42578125" style="29" bestFit="1" customWidth="1"/>
    <col min="2" max="2" width="72.7109375" style="31" customWidth="1"/>
    <col min="3" max="6" width="15.7109375" style="32" customWidth="1"/>
    <col min="7" max="7" width="15.7109375" style="37" customWidth="1"/>
    <col min="8" max="8" width="9.140625" style="28" customWidth="1"/>
    <col min="9" max="16384" width="9.140625" style="28"/>
  </cols>
  <sheetData>
    <row r="1" spans="1:7" x14ac:dyDescent="0.25">
      <c r="A1" s="340"/>
      <c r="B1" s="341"/>
      <c r="C1" s="341"/>
      <c r="D1" s="341"/>
      <c r="E1" s="341"/>
      <c r="F1" s="341"/>
      <c r="G1" s="342"/>
    </row>
    <row r="2" spans="1:7" s="38" customFormat="1" ht="16.5" customHeight="1" x14ac:dyDescent="0.25">
      <c r="A2" s="379" t="s">
        <v>132</v>
      </c>
      <c r="B2" s="380"/>
      <c r="C2" s="380"/>
      <c r="D2" s="380"/>
      <c r="E2" s="380"/>
      <c r="F2" s="380"/>
      <c r="G2" s="381"/>
    </row>
    <row r="3" spans="1:7" s="38" customFormat="1" ht="15.75" customHeight="1" x14ac:dyDescent="0.25">
      <c r="A3" s="40" t="s">
        <v>0</v>
      </c>
      <c r="B3" s="41" t="s">
        <v>1</v>
      </c>
      <c r="C3" s="343">
        <v>2024</v>
      </c>
      <c r="D3" s="343"/>
      <c r="E3" s="343"/>
      <c r="F3" s="343"/>
      <c r="G3" s="344"/>
    </row>
    <row r="4" spans="1:7" s="38" customFormat="1" ht="45" customHeight="1" x14ac:dyDescent="0.25">
      <c r="A4" s="40" t="s">
        <v>2</v>
      </c>
      <c r="B4" s="41" t="s">
        <v>140</v>
      </c>
      <c r="C4" s="345" t="s">
        <v>263</v>
      </c>
      <c r="D4" s="345"/>
      <c r="E4" s="345"/>
      <c r="F4" s="345"/>
      <c r="G4" s="346"/>
    </row>
    <row r="5" spans="1:7" s="38" customFormat="1" ht="15.75" customHeight="1" x14ac:dyDescent="0.25">
      <c r="A5" s="40" t="s">
        <v>3</v>
      </c>
      <c r="B5" s="41" t="s">
        <v>4</v>
      </c>
      <c r="C5" s="347" t="s">
        <v>283</v>
      </c>
      <c r="D5" s="347"/>
      <c r="E5" s="347"/>
      <c r="F5" s="347"/>
      <c r="G5" s="348"/>
    </row>
    <row r="6" spans="1:7" s="38" customFormat="1" x14ac:dyDescent="0.25">
      <c r="A6" s="40" t="s">
        <v>5</v>
      </c>
      <c r="B6" s="41" t="s">
        <v>143</v>
      </c>
      <c r="C6" s="345">
        <v>12</v>
      </c>
      <c r="D6" s="345"/>
      <c r="E6" s="345"/>
      <c r="F6" s="345"/>
      <c r="G6" s="346"/>
    </row>
    <row r="7" spans="1:7" s="38" customFormat="1" x14ac:dyDescent="0.25">
      <c r="A7" s="349" t="s">
        <v>6</v>
      </c>
      <c r="B7" s="350"/>
      <c r="C7" s="350"/>
      <c r="D7" s="350"/>
      <c r="E7" s="350"/>
      <c r="F7" s="350"/>
      <c r="G7" s="351"/>
    </row>
    <row r="8" spans="1:7" s="38" customFormat="1" x14ac:dyDescent="0.25">
      <c r="A8" s="349" t="s">
        <v>7</v>
      </c>
      <c r="B8" s="350"/>
      <c r="C8" s="350"/>
      <c r="D8" s="350"/>
      <c r="E8" s="350"/>
      <c r="F8" s="350"/>
      <c r="G8" s="351"/>
    </row>
    <row r="9" spans="1:7" s="38" customFormat="1" ht="15.75" customHeight="1" x14ac:dyDescent="0.25">
      <c r="A9" s="349" t="s">
        <v>8</v>
      </c>
      <c r="B9" s="350"/>
      <c r="C9" s="350"/>
      <c r="D9" s="350"/>
      <c r="E9" s="350"/>
      <c r="F9" s="350"/>
      <c r="G9" s="351"/>
    </row>
    <row r="10" spans="1:7" s="38" customFormat="1" ht="30" customHeight="1" x14ac:dyDescent="0.25">
      <c r="A10" s="352" t="s">
        <v>9</v>
      </c>
      <c r="B10" s="353"/>
      <c r="C10" s="353"/>
      <c r="D10" s="409" t="s">
        <v>10</v>
      </c>
      <c r="E10" s="409"/>
      <c r="F10" s="409"/>
      <c r="G10" s="410"/>
    </row>
    <row r="11" spans="1:7" s="38" customFormat="1" ht="45" customHeight="1" x14ac:dyDescent="0.25">
      <c r="A11" s="40">
        <v>1</v>
      </c>
      <c r="B11" s="392" t="s">
        <v>133</v>
      </c>
      <c r="C11" s="392"/>
      <c r="D11" s="383" t="s">
        <v>264</v>
      </c>
      <c r="E11" s="384"/>
      <c r="F11" s="384"/>
      <c r="G11" s="385"/>
    </row>
    <row r="12" spans="1:7" s="38" customFormat="1" ht="30" customHeight="1" x14ac:dyDescent="0.25">
      <c r="A12" s="40">
        <v>2</v>
      </c>
      <c r="B12" s="392" t="s">
        <v>11</v>
      </c>
      <c r="C12" s="392"/>
      <c r="D12" s="386">
        <v>3248.32</v>
      </c>
      <c r="E12" s="387"/>
      <c r="F12" s="386">
        <v>3772.76</v>
      </c>
      <c r="G12" s="391"/>
    </row>
    <row r="13" spans="1:7" s="38" customFormat="1" ht="15.75" customHeight="1" x14ac:dyDescent="0.25">
      <c r="A13" s="40">
        <v>3</v>
      </c>
      <c r="B13" s="392" t="s">
        <v>12</v>
      </c>
      <c r="C13" s="392"/>
      <c r="D13" s="383" t="s">
        <v>270</v>
      </c>
      <c r="E13" s="384"/>
      <c r="F13" s="384"/>
      <c r="G13" s="385"/>
    </row>
    <row r="14" spans="1:7" s="38" customFormat="1" x14ac:dyDescent="0.25">
      <c r="A14" s="40">
        <v>4</v>
      </c>
      <c r="B14" s="339" t="s">
        <v>13</v>
      </c>
      <c r="C14" s="339"/>
      <c r="D14" s="388">
        <v>2024</v>
      </c>
      <c r="E14" s="389"/>
      <c r="F14" s="389"/>
      <c r="G14" s="390"/>
    </row>
    <row r="15" spans="1:7" s="39" customFormat="1" ht="30" customHeight="1" x14ac:dyDescent="0.25">
      <c r="A15" s="376" t="s">
        <v>14</v>
      </c>
      <c r="B15" s="377"/>
      <c r="C15" s="377"/>
      <c r="D15" s="168" t="s">
        <v>266</v>
      </c>
      <c r="E15" s="285" t="s">
        <v>268</v>
      </c>
      <c r="F15" s="168" t="s">
        <v>267</v>
      </c>
      <c r="G15" s="288" t="s">
        <v>269</v>
      </c>
    </row>
    <row r="16" spans="1:7" s="39" customFormat="1" x14ac:dyDescent="0.25">
      <c r="A16" s="280">
        <v>1</v>
      </c>
      <c r="B16" s="356" t="s">
        <v>15</v>
      </c>
      <c r="C16" s="356"/>
      <c r="D16" s="57" t="s">
        <v>10</v>
      </c>
      <c r="E16" s="57" t="s">
        <v>10</v>
      </c>
      <c r="F16" s="57" t="s">
        <v>10</v>
      </c>
      <c r="G16" s="58" t="s">
        <v>10</v>
      </c>
    </row>
    <row r="17" spans="1:7" s="38" customFormat="1" ht="15.75" customHeight="1" x14ac:dyDescent="0.25">
      <c r="A17" s="44" t="s">
        <v>0</v>
      </c>
      <c r="B17" s="45" t="s">
        <v>16</v>
      </c>
      <c r="C17" s="43"/>
      <c r="D17" s="75">
        <f>D12</f>
        <v>3248.32</v>
      </c>
      <c r="E17" s="75">
        <f>D12</f>
        <v>3248.32</v>
      </c>
      <c r="F17" s="65">
        <f>F12</f>
        <v>3772.76</v>
      </c>
      <c r="G17" s="194">
        <f>F12</f>
        <v>3772.76</v>
      </c>
    </row>
    <row r="18" spans="1:7" s="38" customFormat="1" ht="15.75" customHeight="1" x14ac:dyDescent="0.25">
      <c r="A18" s="44" t="s">
        <v>2</v>
      </c>
      <c r="B18" s="45" t="s">
        <v>17</v>
      </c>
      <c r="C18" s="76"/>
      <c r="D18" s="77"/>
      <c r="E18" s="77"/>
      <c r="F18" s="77"/>
      <c r="G18" s="60"/>
    </row>
    <row r="19" spans="1:7" s="38" customFormat="1" ht="15.75" customHeight="1" x14ac:dyDescent="0.25">
      <c r="A19" s="44" t="s">
        <v>3</v>
      </c>
      <c r="B19" s="45" t="s">
        <v>18</v>
      </c>
      <c r="C19" s="109" t="s">
        <v>243</v>
      </c>
      <c r="D19" s="77">
        <f>40%*1412</f>
        <v>564.79999999999995</v>
      </c>
      <c r="E19" s="77">
        <f>40%*1412</f>
        <v>564.79999999999995</v>
      </c>
      <c r="F19" s="77">
        <f>40%*1412</f>
        <v>564.79999999999995</v>
      </c>
      <c r="G19" s="60">
        <f>40%*1412</f>
        <v>564.79999999999995</v>
      </c>
    </row>
    <row r="20" spans="1:7" s="38" customFormat="1" ht="15.75" customHeight="1" x14ac:dyDescent="0.25">
      <c r="A20" s="44" t="s">
        <v>5</v>
      </c>
      <c r="B20" s="45" t="s">
        <v>19</v>
      </c>
      <c r="C20" s="76"/>
      <c r="D20" s="77">
        <f>((((D17+D19)/220)*20%)*8)*15.21</f>
        <v>421.8</v>
      </c>
      <c r="E20" s="77">
        <f>((((E17+E19)/220)*20%)*8)*15.21</f>
        <v>421.8</v>
      </c>
      <c r="F20" s="77">
        <f>((((F17+F19)/220)*20%)*8)*15.21</f>
        <v>479.81</v>
      </c>
      <c r="G20" s="60">
        <f>((((G17+G19)/220)*20%)*8)*15.21</f>
        <v>479.81</v>
      </c>
    </row>
    <row r="21" spans="1:7" s="38" customFormat="1" ht="15.75" customHeight="1" x14ac:dyDescent="0.25">
      <c r="A21" s="44" t="s">
        <v>20</v>
      </c>
      <c r="B21" s="45" t="s">
        <v>204</v>
      </c>
      <c r="C21" s="76"/>
      <c r="D21" s="77"/>
      <c r="E21" s="77"/>
      <c r="F21" s="77"/>
      <c r="G21" s="60"/>
    </row>
    <row r="22" spans="1:7" s="38" customFormat="1" x14ac:dyDescent="0.25">
      <c r="A22" s="44" t="s">
        <v>21</v>
      </c>
      <c r="B22" s="45" t="s">
        <v>138</v>
      </c>
      <c r="C22" s="48"/>
      <c r="D22" s="77"/>
      <c r="E22" s="77"/>
      <c r="F22" s="77"/>
      <c r="G22" s="60"/>
    </row>
    <row r="23" spans="1:7" s="38" customFormat="1" ht="15.75" customHeight="1" x14ac:dyDescent="0.25">
      <c r="A23" s="44" t="s">
        <v>22</v>
      </c>
      <c r="B23" s="46" t="s">
        <v>139</v>
      </c>
      <c r="C23" s="48"/>
      <c r="D23" s="77"/>
      <c r="E23" s="77"/>
      <c r="F23" s="77"/>
      <c r="G23" s="60"/>
    </row>
    <row r="24" spans="1:7" s="39" customFormat="1" ht="15.75" customHeight="1" x14ac:dyDescent="0.25">
      <c r="A24" s="367" t="s">
        <v>152</v>
      </c>
      <c r="B24" s="368"/>
      <c r="C24" s="368"/>
      <c r="D24" s="66">
        <f>SUM(D17:D23)</f>
        <v>4234.92</v>
      </c>
      <c r="E24" s="66">
        <f>SUM(E17:E23)</f>
        <v>4234.92</v>
      </c>
      <c r="F24" s="66">
        <f>SUM(F17:F23)</f>
        <v>4817.37</v>
      </c>
      <c r="G24" s="61">
        <f>SUM(G17:G23)</f>
        <v>4817.37</v>
      </c>
    </row>
    <row r="25" spans="1:7" s="39" customFormat="1" x14ac:dyDescent="0.25">
      <c r="A25" s="376" t="s">
        <v>51</v>
      </c>
      <c r="B25" s="377"/>
      <c r="C25" s="377"/>
      <c r="D25" s="264"/>
      <c r="E25" s="264"/>
      <c r="F25" s="264"/>
      <c r="G25" s="265"/>
    </row>
    <row r="26" spans="1:7" s="38" customFormat="1" x14ac:dyDescent="0.25">
      <c r="A26" s="273" t="s">
        <v>141</v>
      </c>
      <c r="B26" s="354" t="s">
        <v>205</v>
      </c>
      <c r="C26" s="382"/>
      <c r="D26" s="69" t="s">
        <v>10</v>
      </c>
      <c r="E26" s="69" t="s">
        <v>10</v>
      </c>
      <c r="F26" s="69" t="s">
        <v>10</v>
      </c>
      <c r="G26" s="173" t="s">
        <v>10</v>
      </c>
    </row>
    <row r="27" spans="1:7" s="38" customFormat="1" x14ac:dyDescent="0.25">
      <c r="A27" s="49" t="s">
        <v>0</v>
      </c>
      <c r="B27" s="50" t="s">
        <v>28</v>
      </c>
      <c r="C27" s="55">
        <f>1/12</f>
        <v>8.3299999999999999E-2</v>
      </c>
      <c r="D27" s="78">
        <f>(D24)*C27</f>
        <v>352.77</v>
      </c>
      <c r="E27" s="78">
        <f>(E24)*C27</f>
        <v>352.77</v>
      </c>
      <c r="F27" s="78">
        <f>(F24)*C27</f>
        <v>401.29</v>
      </c>
      <c r="G27" s="62">
        <f>(G24)*C27</f>
        <v>401.29</v>
      </c>
    </row>
    <row r="28" spans="1:7" s="38" customFormat="1" x14ac:dyDescent="0.25">
      <c r="A28" s="49" t="s">
        <v>2</v>
      </c>
      <c r="B28" s="50" t="s">
        <v>148</v>
      </c>
      <c r="C28" s="55">
        <v>0.1111</v>
      </c>
      <c r="D28" s="78">
        <f>(D24)*C28</f>
        <v>470.5</v>
      </c>
      <c r="E28" s="78">
        <f>(E24)*C28</f>
        <v>470.5</v>
      </c>
      <c r="F28" s="78">
        <f>(F24)*C28</f>
        <v>535.21</v>
      </c>
      <c r="G28" s="62">
        <f>(G24)*C28</f>
        <v>535.21</v>
      </c>
    </row>
    <row r="29" spans="1:7" x14ac:dyDescent="0.25">
      <c r="A29" s="358" t="s">
        <v>27</v>
      </c>
      <c r="B29" s="359"/>
      <c r="C29" s="92">
        <f>SUM(C27:C28)</f>
        <v>0.19439999999999999</v>
      </c>
      <c r="D29" s="80">
        <f>SUM(D27:D28)</f>
        <v>823.27</v>
      </c>
      <c r="E29" s="80">
        <f>SUM(E27:E28)</f>
        <v>823.27</v>
      </c>
      <c r="F29" s="80">
        <f>SUM(F27:F28)</f>
        <v>936.5</v>
      </c>
      <c r="G29" s="63">
        <f>SUM(G27:G28)</f>
        <v>936.5</v>
      </c>
    </row>
    <row r="30" spans="1:7" ht="32.25" customHeight="1" x14ac:dyDescent="0.25">
      <c r="A30" s="402" t="s">
        <v>190</v>
      </c>
      <c r="B30" s="403"/>
      <c r="C30" s="403"/>
      <c r="D30" s="403"/>
      <c r="E30" s="403"/>
      <c r="F30" s="403"/>
      <c r="G30" s="404"/>
    </row>
    <row r="31" spans="1:7" x14ac:dyDescent="0.25">
      <c r="A31" s="270" t="s">
        <v>141</v>
      </c>
      <c r="B31" s="360" t="s">
        <v>25</v>
      </c>
      <c r="C31" s="361"/>
      <c r="D31" s="70" t="s">
        <v>10</v>
      </c>
      <c r="E31" s="70" t="s">
        <v>10</v>
      </c>
      <c r="F31" s="70" t="s">
        <v>10</v>
      </c>
      <c r="G31" s="171" t="s">
        <v>10</v>
      </c>
    </row>
    <row r="32" spans="1:7" x14ac:dyDescent="0.25">
      <c r="A32" s="49" t="s">
        <v>0</v>
      </c>
      <c r="B32" s="81" t="s">
        <v>207</v>
      </c>
      <c r="C32" s="55">
        <v>0.2</v>
      </c>
      <c r="D32" s="78">
        <f t="shared" ref="D32:D39" si="0">($G$24+D$29)*C32</f>
        <v>1128.1300000000001</v>
      </c>
      <c r="E32" s="78">
        <f t="shared" ref="E32:E39" si="1">($E$24+E$29)*C32</f>
        <v>1011.64</v>
      </c>
      <c r="F32" s="78">
        <f t="shared" ref="F32:F39" si="2">($F$24+F$29)*C32</f>
        <v>1150.77</v>
      </c>
      <c r="G32" s="62">
        <f>($G$24+G$29)*C32</f>
        <v>1150.77</v>
      </c>
    </row>
    <row r="33" spans="1:7" x14ac:dyDescent="0.25">
      <c r="A33" s="49" t="s">
        <v>2</v>
      </c>
      <c r="B33" s="81" t="s">
        <v>208</v>
      </c>
      <c r="C33" s="82">
        <v>1.4999999999999999E-2</v>
      </c>
      <c r="D33" s="78">
        <f t="shared" si="0"/>
        <v>84.61</v>
      </c>
      <c r="E33" s="78">
        <f t="shared" si="1"/>
        <v>75.87</v>
      </c>
      <c r="F33" s="78">
        <f t="shared" si="2"/>
        <v>86.31</v>
      </c>
      <c r="G33" s="62">
        <f>($G$24+G$29)*C33</f>
        <v>86.31</v>
      </c>
    </row>
    <row r="34" spans="1:7" x14ac:dyDescent="0.25">
      <c r="A34" s="49" t="s">
        <v>3</v>
      </c>
      <c r="B34" s="81" t="s">
        <v>209</v>
      </c>
      <c r="C34" s="82">
        <v>0.01</v>
      </c>
      <c r="D34" s="78">
        <f t="shared" si="0"/>
        <v>56.41</v>
      </c>
      <c r="E34" s="78">
        <f t="shared" si="1"/>
        <v>50.58</v>
      </c>
      <c r="F34" s="78">
        <f t="shared" si="2"/>
        <v>57.54</v>
      </c>
      <c r="G34" s="62">
        <f>($G$24+G$29)*C34</f>
        <v>57.54</v>
      </c>
    </row>
    <row r="35" spans="1:7" ht="31.5" x14ac:dyDescent="0.25">
      <c r="A35" s="49" t="s">
        <v>5</v>
      </c>
      <c r="B35" s="269" t="s">
        <v>210</v>
      </c>
      <c r="C35" s="82">
        <v>2E-3</v>
      </c>
      <c r="D35" s="78">
        <f t="shared" si="0"/>
        <v>11.28</v>
      </c>
      <c r="E35" s="78">
        <f t="shared" si="1"/>
        <v>10.119999999999999</v>
      </c>
      <c r="F35" s="78">
        <f t="shared" si="2"/>
        <v>11.51</v>
      </c>
      <c r="G35" s="62">
        <f t="shared" ref="G35:G39" si="3">($G$24+G$29)*C35</f>
        <v>11.51</v>
      </c>
    </row>
    <row r="36" spans="1:7" x14ac:dyDescent="0.25">
      <c r="A36" s="49" t="s">
        <v>20</v>
      </c>
      <c r="B36" s="81" t="s">
        <v>211</v>
      </c>
      <c r="C36" s="82">
        <v>2.5000000000000001E-2</v>
      </c>
      <c r="D36" s="78">
        <f t="shared" si="0"/>
        <v>141.02000000000001</v>
      </c>
      <c r="E36" s="78">
        <f t="shared" si="1"/>
        <v>126.45</v>
      </c>
      <c r="F36" s="78">
        <f t="shared" si="2"/>
        <v>143.85</v>
      </c>
      <c r="G36" s="62">
        <f t="shared" si="3"/>
        <v>143.85</v>
      </c>
    </row>
    <row r="37" spans="1:7" x14ac:dyDescent="0.25">
      <c r="A37" s="49" t="s">
        <v>21</v>
      </c>
      <c r="B37" s="108" t="s">
        <v>212</v>
      </c>
      <c r="C37" s="82">
        <v>0.08</v>
      </c>
      <c r="D37" s="78">
        <f t="shared" si="0"/>
        <v>451.25</v>
      </c>
      <c r="E37" s="78">
        <f t="shared" si="1"/>
        <v>404.66</v>
      </c>
      <c r="F37" s="78">
        <f t="shared" si="2"/>
        <v>460.31</v>
      </c>
      <c r="G37" s="62">
        <f t="shared" si="3"/>
        <v>460.31</v>
      </c>
    </row>
    <row r="38" spans="1:7" ht="47.25" x14ac:dyDescent="0.25">
      <c r="A38" s="49" t="s">
        <v>22</v>
      </c>
      <c r="B38" s="269" t="s">
        <v>213</v>
      </c>
      <c r="C38" s="82">
        <v>0.03</v>
      </c>
      <c r="D38" s="78">
        <f t="shared" si="0"/>
        <v>169.22</v>
      </c>
      <c r="E38" s="78">
        <f t="shared" si="1"/>
        <v>151.75</v>
      </c>
      <c r="F38" s="78">
        <f t="shared" si="2"/>
        <v>172.62</v>
      </c>
      <c r="G38" s="62">
        <f t="shared" si="3"/>
        <v>172.62</v>
      </c>
    </row>
    <row r="39" spans="1:7" x14ac:dyDescent="0.25">
      <c r="A39" s="49" t="s">
        <v>26</v>
      </c>
      <c r="B39" s="107" t="s">
        <v>214</v>
      </c>
      <c r="C39" s="82">
        <v>6.0000000000000001E-3</v>
      </c>
      <c r="D39" s="78">
        <f t="shared" si="0"/>
        <v>33.840000000000003</v>
      </c>
      <c r="E39" s="78">
        <f t="shared" si="1"/>
        <v>30.35</v>
      </c>
      <c r="F39" s="78">
        <f t="shared" si="2"/>
        <v>34.520000000000003</v>
      </c>
      <c r="G39" s="62">
        <f t="shared" si="3"/>
        <v>34.520000000000003</v>
      </c>
    </row>
    <row r="40" spans="1:7" s="30" customFormat="1" x14ac:dyDescent="0.25">
      <c r="A40" s="358" t="s">
        <v>27</v>
      </c>
      <c r="B40" s="359"/>
      <c r="C40" s="56">
        <f>SUM(C32:C39)</f>
        <v>0.36799999999999999</v>
      </c>
      <c r="D40" s="80">
        <f>SUM(D32:D39)</f>
        <v>2075.7600000000002</v>
      </c>
      <c r="E40" s="80">
        <f>SUM(E32:E39)</f>
        <v>1861.42</v>
      </c>
      <c r="F40" s="80">
        <f>SUM(F32:F39)</f>
        <v>2117.4299999999998</v>
      </c>
      <c r="G40" s="63">
        <f>SUM(G32:G39)</f>
        <v>2117.4299999999998</v>
      </c>
    </row>
    <row r="41" spans="1:7" s="30" customFormat="1" x14ac:dyDescent="0.25">
      <c r="A41" s="370" t="s">
        <v>173</v>
      </c>
      <c r="B41" s="371"/>
      <c r="C41" s="371"/>
      <c r="D41" s="258"/>
      <c r="E41" s="258"/>
      <c r="F41" s="258"/>
      <c r="G41" s="259"/>
    </row>
    <row r="42" spans="1:7" s="30" customFormat="1" x14ac:dyDescent="0.25">
      <c r="A42" s="74" t="s">
        <v>216</v>
      </c>
      <c r="B42" s="374" t="s">
        <v>217</v>
      </c>
      <c r="C42" s="375"/>
      <c r="D42" s="105" t="s">
        <v>10</v>
      </c>
      <c r="E42" s="105" t="s">
        <v>10</v>
      </c>
      <c r="F42" s="105" t="s">
        <v>10</v>
      </c>
      <c r="G42" s="191" t="s">
        <v>10</v>
      </c>
    </row>
    <row r="43" spans="1:7" s="30" customFormat="1" x14ac:dyDescent="0.25">
      <c r="A43" s="91" t="s">
        <v>0</v>
      </c>
      <c r="B43" s="53" t="s">
        <v>144</v>
      </c>
      <c r="C43" s="106"/>
      <c r="D43" s="102">
        <v>0</v>
      </c>
      <c r="E43" s="287">
        <v>129.66999999999999</v>
      </c>
      <c r="F43" s="102">
        <v>0</v>
      </c>
      <c r="G43" s="290">
        <v>129.66999999999999</v>
      </c>
    </row>
    <row r="44" spans="1:7" s="30" customFormat="1" x14ac:dyDescent="0.25">
      <c r="A44" s="47" t="s">
        <v>2</v>
      </c>
      <c r="B44" s="46" t="s">
        <v>191</v>
      </c>
      <c r="C44" s="73">
        <v>581.85</v>
      </c>
      <c r="D44" s="75">
        <f>C44-(C44*0.99%)</f>
        <v>576.09</v>
      </c>
      <c r="E44" s="75">
        <f>C44-(C44*0.99%)</f>
        <v>576.09</v>
      </c>
      <c r="F44" s="75">
        <f>C44-(C44*0.99%)</f>
        <v>576.09</v>
      </c>
      <c r="G44" s="59">
        <f>C44-(C44*0.99%)</f>
        <v>576.09</v>
      </c>
    </row>
    <row r="45" spans="1:7" s="30" customFormat="1" x14ac:dyDescent="0.25">
      <c r="A45" s="49" t="s">
        <v>3</v>
      </c>
      <c r="B45" s="50" t="s">
        <v>134</v>
      </c>
      <c r="C45" s="67"/>
      <c r="D45" s="85">
        <v>0</v>
      </c>
      <c r="E45" s="85">
        <v>0</v>
      </c>
      <c r="F45" s="85">
        <v>0</v>
      </c>
      <c r="G45" s="64">
        <v>0</v>
      </c>
    </row>
    <row r="46" spans="1:7" s="30" customFormat="1" x14ac:dyDescent="0.25">
      <c r="A46" s="49" t="s">
        <v>5</v>
      </c>
      <c r="B46" s="50" t="s">
        <v>135</v>
      </c>
      <c r="C46" s="55">
        <v>0.5</v>
      </c>
      <c r="D46" s="85">
        <f>(D17*C46*0.0199*2)/12</f>
        <v>5.39</v>
      </c>
      <c r="E46" s="85">
        <f>(E17*C46*0.0199*2)/12</f>
        <v>5.39</v>
      </c>
      <c r="F46" s="85">
        <f>(F17*C46*0.0199*2)/12</f>
        <v>6.26</v>
      </c>
      <c r="G46" s="64">
        <f>(G17*C46*0.0199*2)/12</f>
        <v>6.26</v>
      </c>
    </row>
    <row r="47" spans="1:7" s="30" customFormat="1" x14ac:dyDescent="0.25">
      <c r="A47" s="49" t="s">
        <v>20</v>
      </c>
      <c r="B47" s="50" t="s">
        <v>136</v>
      </c>
      <c r="C47" s="67"/>
      <c r="D47" s="78">
        <v>45.8</v>
      </c>
      <c r="E47" s="78">
        <v>45.8</v>
      </c>
      <c r="F47" s="78">
        <v>45.8</v>
      </c>
      <c r="G47" s="78">
        <v>45.8</v>
      </c>
    </row>
    <row r="48" spans="1:7" s="30" customFormat="1" ht="15.75" customHeight="1" x14ac:dyDescent="0.25">
      <c r="A48" s="358" t="s">
        <v>23</v>
      </c>
      <c r="B48" s="359"/>
      <c r="C48" s="359"/>
      <c r="D48" s="80">
        <f>SUM(D43:D47)</f>
        <v>627.28</v>
      </c>
      <c r="E48" s="80">
        <f>SUM(E43:E47)</f>
        <v>756.95</v>
      </c>
      <c r="F48" s="80">
        <f>SUM(F43:F47)</f>
        <v>628.15</v>
      </c>
      <c r="G48" s="63">
        <f>SUM(G43:G47)</f>
        <v>757.82</v>
      </c>
    </row>
    <row r="49" spans="1:7" s="30" customFormat="1" ht="15.75" customHeight="1" x14ac:dyDescent="0.25">
      <c r="A49" s="370" t="s">
        <v>224</v>
      </c>
      <c r="B49" s="371"/>
      <c r="C49" s="371"/>
      <c r="D49" s="258"/>
      <c r="E49" s="258"/>
      <c r="F49" s="258"/>
      <c r="G49" s="259"/>
    </row>
    <row r="50" spans="1:7" s="30" customFormat="1" ht="15.75" customHeight="1" x14ac:dyDescent="0.25">
      <c r="A50" s="280" t="s">
        <v>141</v>
      </c>
      <c r="B50" s="103" t="s">
        <v>145</v>
      </c>
      <c r="C50" s="277"/>
      <c r="D50" s="65">
        <f>D29</f>
        <v>823.27</v>
      </c>
      <c r="E50" s="65">
        <f>E29</f>
        <v>823.27</v>
      </c>
      <c r="F50" s="65">
        <f>F29</f>
        <v>936.5</v>
      </c>
      <c r="G50" s="194">
        <f>G29</f>
        <v>936.5</v>
      </c>
    </row>
    <row r="51" spans="1:7" s="30" customFormat="1" ht="15.75" customHeight="1" x14ac:dyDescent="0.25">
      <c r="A51" s="280" t="s">
        <v>215</v>
      </c>
      <c r="B51" s="103" t="s">
        <v>146</v>
      </c>
      <c r="C51" s="277"/>
      <c r="D51" s="65">
        <f>D40</f>
        <v>2075.7600000000002</v>
      </c>
      <c r="E51" s="65">
        <f>E40</f>
        <v>1861.42</v>
      </c>
      <c r="F51" s="65">
        <f>F40</f>
        <v>2117.4299999999998</v>
      </c>
      <c r="G51" s="194">
        <f>G40</f>
        <v>2117.4299999999998</v>
      </c>
    </row>
    <row r="52" spans="1:7" s="30" customFormat="1" ht="15.75" customHeight="1" x14ac:dyDescent="0.25">
      <c r="A52" s="280" t="s">
        <v>216</v>
      </c>
      <c r="B52" s="103" t="s">
        <v>147</v>
      </c>
      <c r="C52" s="277"/>
      <c r="D52" s="65">
        <f>D48</f>
        <v>627.28</v>
      </c>
      <c r="E52" s="65">
        <f>E48</f>
        <v>756.95</v>
      </c>
      <c r="F52" s="65">
        <f>F48</f>
        <v>628.15</v>
      </c>
      <c r="G52" s="194">
        <f>G48</f>
        <v>757.82</v>
      </c>
    </row>
    <row r="53" spans="1:7" s="30" customFormat="1" ht="15.75" customHeight="1" x14ac:dyDescent="0.25">
      <c r="A53" s="367" t="s">
        <v>153</v>
      </c>
      <c r="B53" s="368"/>
      <c r="C53" s="368"/>
      <c r="D53" s="66">
        <f>SUM(D50:D52)</f>
        <v>3526.31</v>
      </c>
      <c r="E53" s="66">
        <f>SUM(E50:E52)</f>
        <v>3441.64</v>
      </c>
      <c r="F53" s="66">
        <f>SUM(F50:F52)</f>
        <v>3682.08</v>
      </c>
      <c r="G53" s="61">
        <f>SUM(G50:G52)</f>
        <v>3811.75</v>
      </c>
    </row>
    <row r="54" spans="1:7" s="30" customFormat="1" ht="15.75" customHeight="1" x14ac:dyDescent="0.25">
      <c r="A54" s="376" t="s">
        <v>162</v>
      </c>
      <c r="B54" s="377"/>
      <c r="C54" s="377"/>
      <c r="D54" s="264"/>
      <c r="E54" s="264"/>
      <c r="F54" s="264"/>
      <c r="G54" s="265"/>
    </row>
    <row r="55" spans="1:7" s="30" customFormat="1" ht="15.75" customHeight="1" x14ac:dyDescent="0.25">
      <c r="A55" s="273" t="s">
        <v>200</v>
      </c>
      <c r="B55" s="354" t="s">
        <v>32</v>
      </c>
      <c r="C55" s="355"/>
      <c r="D55" s="69" t="s">
        <v>10</v>
      </c>
      <c r="E55" s="69" t="s">
        <v>10</v>
      </c>
      <c r="F55" s="69" t="s">
        <v>10</v>
      </c>
      <c r="G55" s="173" t="s">
        <v>10</v>
      </c>
    </row>
    <row r="56" spans="1:7" s="30" customFormat="1" ht="15.75" customHeight="1" x14ac:dyDescent="0.25">
      <c r="A56" s="49" t="s">
        <v>0</v>
      </c>
      <c r="B56" s="50" t="s">
        <v>33</v>
      </c>
      <c r="C56" s="55">
        <v>4.5999999999999999E-3</v>
      </c>
      <c r="D56" s="78">
        <f>D$24*C56</f>
        <v>19.48</v>
      </c>
      <c r="E56" s="78">
        <f>E$24*C56</f>
        <v>19.48</v>
      </c>
      <c r="F56" s="78">
        <f>F$24*C56</f>
        <v>22.16</v>
      </c>
      <c r="G56" s="62">
        <f>G$24*C56</f>
        <v>22.16</v>
      </c>
    </row>
    <row r="57" spans="1:7" s="30" customFormat="1" ht="15.75" customHeight="1" x14ac:dyDescent="0.25">
      <c r="A57" s="49" t="s">
        <v>2</v>
      </c>
      <c r="B57" s="50" t="s">
        <v>34</v>
      </c>
      <c r="C57" s="55">
        <v>4.0000000000000002E-4</v>
      </c>
      <c r="D57" s="78">
        <f>D$24*C57</f>
        <v>1.69</v>
      </c>
      <c r="E57" s="78">
        <f>E$24*C57</f>
        <v>1.69</v>
      </c>
      <c r="F57" s="78">
        <f>F$24*C57</f>
        <v>1.93</v>
      </c>
      <c r="G57" s="62">
        <f>G$24*C57</f>
        <v>1.93</v>
      </c>
    </row>
    <row r="58" spans="1:7" s="30" customFormat="1" ht="15.75" customHeight="1" x14ac:dyDescent="0.25">
      <c r="A58" s="49" t="s">
        <v>3</v>
      </c>
      <c r="B58" s="52" t="s">
        <v>35</v>
      </c>
      <c r="C58" s="55">
        <v>1.9400000000000001E-2</v>
      </c>
      <c r="D58" s="78">
        <f>D$24*C58</f>
        <v>82.16</v>
      </c>
      <c r="E58" s="78">
        <f>E$24*C58</f>
        <v>82.16</v>
      </c>
      <c r="F58" s="78">
        <f>F$24*C58</f>
        <v>93.46</v>
      </c>
      <c r="G58" s="62">
        <f>G$24*C58</f>
        <v>93.46</v>
      </c>
    </row>
    <row r="59" spans="1:7" s="30" customFormat="1" ht="30.75" customHeight="1" x14ac:dyDescent="0.25">
      <c r="A59" s="49" t="s">
        <v>5</v>
      </c>
      <c r="B59" s="50" t="s">
        <v>174</v>
      </c>
      <c r="C59" s="55">
        <v>7.1000000000000004E-3</v>
      </c>
      <c r="D59" s="78">
        <f>D$24*C59</f>
        <v>30.07</v>
      </c>
      <c r="E59" s="78">
        <f>E$24*C59</f>
        <v>30.07</v>
      </c>
      <c r="F59" s="78">
        <f>F$24*C59</f>
        <v>34.200000000000003</v>
      </c>
      <c r="G59" s="62">
        <f>G$24*C59</f>
        <v>34.200000000000003</v>
      </c>
    </row>
    <row r="60" spans="1:7" s="30" customFormat="1" ht="15.75" customHeight="1" x14ac:dyDescent="0.25">
      <c r="A60" s="49" t="s">
        <v>20</v>
      </c>
      <c r="B60" s="50" t="s">
        <v>149</v>
      </c>
      <c r="C60" s="55">
        <v>0.04</v>
      </c>
      <c r="D60" s="78">
        <f>D$24*C60</f>
        <v>169.4</v>
      </c>
      <c r="E60" s="78">
        <f>E$24*C60</f>
        <v>169.4</v>
      </c>
      <c r="F60" s="78">
        <f>F$24*C60</f>
        <v>192.69</v>
      </c>
      <c r="G60" s="62">
        <f>G$24*C60</f>
        <v>192.69</v>
      </c>
    </row>
    <row r="61" spans="1:7" s="30" customFormat="1" x14ac:dyDescent="0.25">
      <c r="A61" s="367" t="s">
        <v>154</v>
      </c>
      <c r="B61" s="368"/>
      <c r="C61" s="368"/>
      <c r="D61" s="66">
        <f>SUM(D56:D60)</f>
        <v>302.8</v>
      </c>
      <c r="E61" s="66">
        <f>SUM(E56:E60)</f>
        <v>302.8</v>
      </c>
      <c r="F61" s="66">
        <f>SUM(F56:F60)</f>
        <v>344.44</v>
      </c>
      <c r="G61" s="61">
        <f>SUM(G56:G60)</f>
        <v>344.44</v>
      </c>
    </row>
    <row r="62" spans="1:7" s="30" customFormat="1" x14ac:dyDescent="0.25">
      <c r="A62" s="376" t="s">
        <v>163</v>
      </c>
      <c r="B62" s="377"/>
      <c r="C62" s="377"/>
      <c r="D62" s="264"/>
      <c r="E62" s="264"/>
      <c r="F62" s="264"/>
      <c r="G62" s="265"/>
    </row>
    <row r="63" spans="1:7" s="30" customFormat="1" x14ac:dyDescent="0.25">
      <c r="A63" s="273" t="s">
        <v>199</v>
      </c>
      <c r="B63" s="369" t="s">
        <v>198</v>
      </c>
      <c r="C63" s="369"/>
      <c r="D63" s="69" t="s">
        <v>10</v>
      </c>
      <c r="E63" s="69" t="s">
        <v>10</v>
      </c>
      <c r="F63" s="69" t="s">
        <v>10</v>
      </c>
      <c r="G63" s="173" t="s">
        <v>10</v>
      </c>
    </row>
    <row r="64" spans="1:7" s="30" customFormat="1" x14ac:dyDescent="0.25">
      <c r="A64" s="49" t="s">
        <v>0</v>
      </c>
      <c r="B64" s="50" t="s">
        <v>192</v>
      </c>
      <c r="C64" s="55">
        <v>9.2999999999999992E-3</v>
      </c>
      <c r="D64" s="78">
        <f t="shared" ref="D64:D69" si="4">(D$24+D$53+D$61+D$84)*C64</f>
        <v>75.34</v>
      </c>
      <c r="E64" s="78">
        <f t="shared" ref="E64:E69" si="5">(E$24+E$53+E$61+E$84)*C64</f>
        <v>74.55</v>
      </c>
      <c r="F64" s="78">
        <f t="shared" ref="F64:F69" si="6">(F$24+F$53+F$61+F$84)*C64</f>
        <v>82.59</v>
      </c>
      <c r="G64" s="62">
        <f t="shared" ref="G64:G69" si="7">(G$24+G$53+G$61+G$84)*C64</f>
        <v>83.79</v>
      </c>
    </row>
    <row r="65" spans="1:7" s="30" customFormat="1" x14ac:dyDescent="0.25">
      <c r="A65" s="49" t="s">
        <v>2</v>
      </c>
      <c r="B65" s="50" t="s">
        <v>193</v>
      </c>
      <c r="C65" s="55">
        <v>1.66E-2</v>
      </c>
      <c r="D65" s="78">
        <f t="shared" si="4"/>
        <v>134.47</v>
      </c>
      <c r="E65" s="78">
        <f t="shared" si="5"/>
        <v>133.07</v>
      </c>
      <c r="F65" s="78">
        <f t="shared" si="6"/>
        <v>147.41999999999999</v>
      </c>
      <c r="G65" s="62">
        <f t="shared" si="7"/>
        <v>149.57</v>
      </c>
    </row>
    <row r="66" spans="1:7" s="30" customFormat="1" x14ac:dyDescent="0.25">
      <c r="A66" s="49" t="s">
        <v>3</v>
      </c>
      <c r="B66" s="50" t="s">
        <v>194</v>
      </c>
      <c r="C66" s="55">
        <v>2.0000000000000001E-4</v>
      </c>
      <c r="D66" s="78">
        <f t="shared" si="4"/>
        <v>1.62</v>
      </c>
      <c r="E66" s="78">
        <f t="shared" si="5"/>
        <v>1.6</v>
      </c>
      <c r="F66" s="78">
        <f t="shared" si="6"/>
        <v>1.78</v>
      </c>
      <c r="G66" s="62">
        <f t="shared" si="7"/>
        <v>1.8</v>
      </c>
    </row>
    <row r="67" spans="1:7" s="30" customFormat="1" x14ac:dyDescent="0.25">
      <c r="A67" s="49" t="s">
        <v>5</v>
      </c>
      <c r="B67" s="50" t="s">
        <v>195</v>
      </c>
      <c r="C67" s="55">
        <v>2.7000000000000001E-3</v>
      </c>
      <c r="D67" s="78">
        <f t="shared" si="4"/>
        <v>21.87</v>
      </c>
      <c r="E67" s="78">
        <f t="shared" si="5"/>
        <v>21.64</v>
      </c>
      <c r="F67" s="78">
        <f t="shared" si="6"/>
        <v>23.98</v>
      </c>
      <c r="G67" s="62">
        <f t="shared" si="7"/>
        <v>24.33</v>
      </c>
    </row>
    <row r="68" spans="1:7" s="30" customFormat="1" x14ac:dyDescent="0.25">
      <c r="A68" s="49" t="s">
        <v>20</v>
      </c>
      <c r="B68" s="50" t="s">
        <v>196</v>
      </c>
      <c r="C68" s="55">
        <v>2.9999999999999997E-4</v>
      </c>
      <c r="D68" s="78">
        <f t="shared" si="4"/>
        <v>2.4300000000000002</v>
      </c>
      <c r="E68" s="78">
        <f t="shared" si="5"/>
        <v>2.4</v>
      </c>
      <c r="F68" s="78">
        <f t="shared" si="6"/>
        <v>2.66</v>
      </c>
      <c r="G68" s="62">
        <f t="shared" si="7"/>
        <v>2.7</v>
      </c>
    </row>
    <row r="69" spans="1:7" s="30" customFormat="1" ht="15.75" customHeight="1" x14ac:dyDescent="0.25">
      <c r="A69" s="49" t="s">
        <v>21</v>
      </c>
      <c r="B69" s="276" t="s">
        <v>197</v>
      </c>
      <c r="C69" s="55">
        <v>0</v>
      </c>
      <c r="D69" s="78">
        <f t="shared" si="4"/>
        <v>0</v>
      </c>
      <c r="E69" s="78">
        <f t="shared" si="5"/>
        <v>0</v>
      </c>
      <c r="F69" s="78">
        <f t="shared" si="6"/>
        <v>0</v>
      </c>
      <c r="G69" s="62">
        <f t="shared" si="7"/>
        <v>0</v>
      </c>
    </row>
    <row r="70" spans="1:7" s="30" customFormat="1" x14ac:dyDescent="0.25">
      <c r="A70" s="358" t="s">
        <v>29</v>
      </c>
      <c r="B70" s="359"/>
      <c r="C70" s="56">
        <f>SUM(C64:C69)</f>
        <v>2.9100000000000001E-2</v>
      </c>
      <c r="D70" s="80">
        <f>SUM(D64:D69)</f>
        <v>235.73</v>
      </c>
      <c r="E70" s="80">
        <f>SUM(E64:E69)</f>
        <v>233.26</v>
      </c>
      <c r="F70" s="80">
        <f>SUM(F64:F69)</f>
        <v>258.43</v>
      </c>
      <c r="G70" s="63">
        <f>SUM(G64:G69)</f>
        <v>262.19</v>
      </c>
    </row>
    <row r="71" spans="1:7" s="30" customFormat="1" x14ac:dyDescent="0.25">
      <c r="A71" s="280"/>
      <c r="B71" s="277"/>
      <c r="C71" s="72"/>
      <c r="D71" s="72"/>
      <c r="E71" s="75"/>
      <c r="F71" s="72"/>
      <c r="G71" s="59"/>
    </row>
    <row r="72" spans="1:7" s="30" customFormat="1" x14ac:dyDescent="0.25">
      <c r="A72" s="280"/>
      <c r="B72" s="356" t="s">
        <v>201</v>
      </c>
      <c r="C72" s="357"/>
      <c r="D72" s="69" t="s">
        <v>10</v>
      </c>
      <c r="E72" s="69" t="s">
        <v>10</v>
      </c>
      <c r="F72" s="69" t="s">
        <v>10</v>
      </c>
      <c r="G72" s="173" t="s">
        <v>10</v>
      </c>
    </row>
    <row r="73" spans="1:7" s="30" customFormat="1" x14ac:dyDescent="0.25">
      <c r="A73" s="49" t="s">
        <v>0</v>
      </c>
      <c r="B73" s="50" t="s">
        <v>202</v>
      </c>
      <c r="C73" s="55">
        <v>0</v>
      </c>
      <c r="D73" s="78">
        <f>(D$24+D$53+D$61)*C73</f>
        <v>0</v>
      </c>
      <c r="E73" s="78">
        <f>(E$24+E$53+E$61)*C73</f>
        <v>0</v>
      </c>
      <c r="F73" s="78">
        <f>(F$24+F$53+F$61)*C73</f>
        <v>0</v>
      </c>
      <c r="G73" s="62">
        <f>(G$24+G$53+G$61)*C73</f>
        <v>0</v>
      </c>
    </row>
    <row r="74" spans="1:7" s="30" customFormat="1" ht="15.75" customHeight="1" x14ac:dyDescent="0.25">
      <c r="A74" s="358" t="s">
        <v>27</v>
      </c>
      <c r="B74" s="359"/>
      <c r="C74" s="94">
        <f>C73</f>
        <v>0</v>
      </c>
      <c r="D74" s="80">
        <f>D73</f>
        <v>0</v>
      </c>
      <c r="E74" s="80">
        <f>E73</f>
        <v>0</v>
      </c>
      <c r="F74" s="80">
        <f>F73</f>
        <v>0</v>
      </c>
      <c r="G74" s="63">
        <f>G73</f>
        <v>0</v>
      </c>
    </row>
    <row r="75" spans="1:7" s="30" customFormat="1" ht="15.75" customHeight="1" x14ac:dyDescent="0.25">
      <c r="A75" s="370" t="s">
        <v>30</v>
      </c>
      <c r="B75" s="371"/>
      <c r="C75" s="371"/>
      <c r="D75" s="258"/>
      <c r="E75" s="258"/>
      <c r="F75" s="258"/>
      <c r="G75" s="259"/>
    </row>
    <row r="76" spans="1:7" s="30" customFormat="1" ht="15.75" customHeight="1" x14ac:dyDescent="0.25">
      <c r="A76" s="405" t="s">
        <v>203</v>
      </c>
      <c r="B76" s="406"/>
      <c r="C76" s="406"/>
      <c r="D76" s="99"/>
      <c r="E76" s="99"/>
      <c r="F76" s="99"/>
      <c r="G76" s="266"/>
    </row>
    <row r="77" spans="1:7" s="30" customFormat="1" ht="15.75" customHeight="1" x14ac:dyDescent="0.25">
      <c r="A77" s="273">
        <v>4</v>
      </c>
      <c r="B77" s="354" t="s">
        <v>31</v>
      </c>
      <c r="C77" s="355"/>
      <c r="D77" s="69" t="s">
        <v>10</v>
      </c>
      <c r="E77" s="69" t="s">
        <v>10</v>
      </c>
      <c r="F77" s="69" t="s">
        <v>10</v>
      </c>
      <c r="G77" s="173" t="s">
        <v>10</v>
      </c>
    </row>
    <row r="78" spans="1:7" s="30" customFormat="1" ht="15.75" customHeight="1" x14ac:dyDescent="0.25">
      <c r="A78" s="49" t="s">
        <v>199</v>
      </c>
      <c r="B78" s="276" t="s">
        <v>198</v>
      </c>
      <c r="C78" s="55">
        <f>C70</f>
        <v>2.9100000000000001E-2</v>
      </c>
      <c r="D78" s="78">
        <f>D70</f>
        <v>235.73</v>
      </c>
      <c r="E78" s="78">
        <f>E70</f>
        <v>233.26</v>
      </c>
      <c r="F78" s="78">
        <f>F70</f>
        <v>258.43</v>
      </c>
      <c r="G78" s="62">
        <f>G70</f>
        <v>262.19</v>
      </c>
    </row>
    <row r="79" spans="1:7" s="30" customFormat="1" ht="15.75" customHeight="1" x14ac:dyDescent="0.25">
      <c r="A79" s="49" t="s">
        <v>221</v>
      </c>
      <c r="B79" s="276" t="s">
        <v>201</v>
      </c>
      <c r="C79" s="55">
        <v>0</v>
      </c>
      <c r="D79" s="78">
        <f>(D$24+D$53+D$61)*C79</f>
        <v>0</v>
      </c>
      <c r="E79" s="78">
        <f>(E$24+E$53+E$61)*C79</f>
        <v>0</v>
      </c>
      <c r="F79" s="78">
        <f>(F$24+F$53+F$61)*C79</f>
        <v>0</v>
      </c>
      <c r="G79" s="62">
        <f>(G$24+G$53+G$61)*C79</f>
        <v>0</v>
      </c>
    </row>
    <row r="80" spans="1:7" s="30" customFormat="1" ht="15.75" customHeight="1" x14ac:dyDescent="0.25">
      <c r="A80" s="358" t="s">
        <v>27</v>
      </c>
      <c r="B80" s="359"/>
      <c r="C80" s="92">
        <f>SUM(C78:C79)</f>
        <v>2.9100000000000001E-2</v>
      </c>
      <c r="D80" s="80">
        <f>SUM(D78:D79)</f>
        <v>235.73</v>
      </c>
      <c r="E80" s="80">
        <f>SUM(E78:E79)</f>
        <v>233.26</v>
      </c>
      <c r="F80" s="80">
        <f>SUM(F78:F79)</f>
        <v>258.43</v>
      </c>
      <c r="G80" s="63">
        <f>SUM(G78:G79)</f>
        <v>262.19</v>
      </c>
    </row>
    <row r="81" spans="1:7" s="30" customFormat="1" ht="15.75" customHeight="1" x14ac:dyDescent="0.25">
      <c r="A81" s="367" t="s">
        <v>155</v>
      </c>
      <c r="B81" s="368"/>
      <c r="C81" s="368"/>
      <c r="D81" s="66">
        <f>SUM(D74+D80)</f>
        <v>235.73</v>
      </c>
      <c r="E81" s="66">
        <f>SUM(E74+E80)</f>
        <v>233.26</v>
      </c>
      <c r="F81" s="66">
        <f>SUM(F74+F80)</f>
        <v>258.43</v>
      </c>
      <c r="G81" s="61">
        <f>SUM(G74+G80)</f>
        <v>262.19</v>
      </c>
    </row>
    <row r="82" spans="1:7" s="30" customFormat="1" ht="15.75" customHeight="1" x14ac:dyDescent="0.25">
      <c r="A82" s="376" t="s">
        <v>164</v>
      </c>
      <c r="B82" s="377"/>
      <c r="C82" s="377"/>
      <c r="D82" s="264"/>
      <c r="E82" s="264"/>
      <c r="F82" s="264"/>
      <c r="G82" s="265"/>
    </row>
    <row r="83" spans="1:7" s="30" customFormat="1" ht="15.75" customHeight="1" x14ac:dyDescent="0.25">
      <c r="A83" s="273">
        <v>5</v>
      </c>
      <c r="B83" s="354" t="s">
        <v>24</v>
      </c>
      <c r="C83" s="355"/>
      <c r="D83" s="69" t="s">
        <v>10</v>
      </c>
      <c r="E83" s="69" t="s">
        <v>10</v>
      </c>
      <c r="F83" s="69" t="s">
        <v>10</v>
      </c>
      <c r="G83" s="173" t="s">
        <v>10</v>
      </c>
    </row>
    <row r="84" spans="1:7" s="30" customFormat="1" ht="15.75" customHeight="1" x14ac:dyDescent="0.25">
      <c r="A84" s="47" t="s">
        <v>0</v>
      </c>
      <c r="B84" s="401" t="s">
        <v>222</v>
      </c>
      <c r="C84" s="401"/>
      <c r="D84" s="78">
        <f>Uniformes!H7</f>
        <v>36.619999999999997</v>
      </c>
      <c r="E84" s="78">
        <f>Uniformes!H7</f>
        <v>36.619999999999997</v>
      </c>
      <c r="F84" s="78">
        <f>Uniformes!H7</f>
        <v>36.619999999999997</v>
      </c>
      <c r="G84" s="62">
        <f>Uniformes!H7</f>
        <v>36.619999999999997</v>
      </c>
    </row>
    <row r="85" spans="1:7" s="30" customFormat="1" ht="15.75" customHeight="1" x14ac:dyDescent="0.25">
      <c r="A85" s="47" t="s">
        <v>2</v>
      </c>
      <c r="B85" s="401" t="s">
        <v>223</v>
      </c>
      <c r="C85" s="401"/>
      <c r="D85" s="78">
        <f>Materiais!H18</f>
        <v>64.819999999999993</v>
      </c>
      <c r="E85" s="78">
        <f>Materiais!H19</f>
        <v>64.819999999999993</v>
      </c>
      <c r="F85" s="78">
        <f>Materiais!H20</f>
        <v>44.57</v>
      </c>
      <c r="G85" s="62">
        <f>Materiais!H21</f>
        <v>44.57</v>
      </c>
    </row>
    <row r="86" spans="1:7" s="30" customFormat="1" ht="15.75" customHeight="1" x14ac:dyDescent="0.25">
      <c r="A86" s="47" t="s">
        <v>3</v>
      </c>
      <c r="B86" s="401" t="s">
        <v>187</v>
      </c>
      <c r="C86" s="401"/>
      <c r="D86" s="78">
        <f>Equipamentos!H19</f>
        <v>1312.5</v>
      </c>
      <c r="E86" s="78">
        <f>Equipamentos!H20</f>
        <v>1312.5</v>
      </c>
      <c r="F86" s="78">
        <f>Equipamentos!H21</f>
        <v>922.4</v>
      </c>
      <c r="G86" s="62">
        <f>Equipamentos!H22</f>
        <v>922.4</v>
      </c>
    </row>
    <row r="87" spans="1:7" s="30" customFormat="1" ht="15.75" customHeight="1" x14ac:dyDescent="0.25">
      <c r="A87" s="47" t="s">
        <v>5</v>
      </c>
      <c r="B87" s="401" t="s">
        <v>137</v>
      </c>
      <c r="C87" s="401"/>
      <c r="D87" s="78">
        <v>0</v>
      </c>
      <c r="E87" s="78">
        <v>0</v>
      </c>
      <c r="F87" s="78">
        <v>0</v>
      </c>
      <c r="G87" s="62">
        <v>0</v>
      </c>
    </row>
    <row r="88" spans="1:7" s="30" customFormat="1" ht="15.75" customHeight="1" x14ac:dyDescent="0.25">
      <c r="A88" s="367" t="s">
        <v>156</v>
      </c>
      <c r="B88" s="368"/>
      <c r="C88" s="368"/>
      <c r="D88" s="66">
        <f>SUM(D84:D87)</f>
        <v>1413.94</v>
      </c>
      <c r="E88" s="66">
        <f>SUM(E84:E87)</f>
        <v>1413.94</v>
      </c>
      <c r="F88" s="66">
        <f>SUM(F84:F87)</f>
        <v>1003.59</v>
      </c>
      <c r="G88" s="61">
        <f>SUM(G84:G87)</f>
        <v>1003.59</v>
      </c>
    </row>
    <row r="89" spans="1:7" s="30" customFormat="1" ht="30" customHeight="1" x14ac:dyDescent="0.25">
      <c r="A89" s="365" t="s">
        <v>225</v>
      </c>
      <c r="B89" s="366"/>
      <c r="C89" s="366"/>
      <c r="D89" s="161">
        <f>D88+D81+D61+D53+D24</f>
        <v>9713.7000000000007</v>
      </c>
      <c r="E89" s="161">
        <f>E88+E81+E61+E53+E24</f>
        <v>9626.56</v>
      </c>
      <c r="F89" s="161">
        <f>F88+F81+F61+F53+F24</f>
        <v>10105.91</v>
      </c>
      <c r="G89" s="207">
        <f>G88+G81+G61+G53+G24</f>
        <v>10239.34</v>
      </c>
    </row>
    <row r="90" spans="1:7" s="30" customFormat="1" ht="19.5" customHeight="1" x14ac:dyDescent="0.25">
      <c r="A90" s="376" t="s">
        <v>165</v>
      </c>
      <c r="B90" s="377"/>
      <c r="C90" s="377"/>
      <c r="D90" s="264"/>
      <c r="E90" s="264"/>
      <c r="F90" s="264"/>
      <c r="G90" s="265"/>
    </row>
    <row r="91" spans="1:7" s="30" customFormat="1" x14ac:dyDescent="0.25">
      <c r="A91" s="273">
        <v>6</v>
      </c>
      <c r="B91" s="354" t="s">
        <v>38</v>
      </c>
      <c r="C91" s="382"/>
      <c r="D91" s="69" t="s">
        <v>10</v>
      </c>
      <c r="E91" s="69" t="s">
        <v>10</v>
      </c>
      <c r="F91" s="69" t="s">
        <v>10</v>
      </c>
      <c r="G91" s="173" t="s">
        <v>10</v>
      </c>
    </row>
    <row r="92" spans="1:7" s="30" customFormat="1" x14ac:dyDescent="0.25">
      <c r="A92" s="273" t="s">
        <v>0</v>
      </c>
      <c r="B92" s="50" t="s">
        <v>39</v>
      </c>
      <c r="C92" s="55">
        <v>0.03</v>
      </c>
      <c r="D92" s="78">
        <f>+D89*C92</f>
        <v>291.41000000000003</v>
      </c>
      <c r="E92" s="78">
        <f>+E89*C92</f>
        <v>288.8</v>
      </c>
      <c r="F92" s="78">
        <f>+F89*C92</f>
        <v>303.18</v>
      </c>
      <c r="G92" s="62">
        <f>+G89*C92</f>
        <v>307.18</v>
      </c>
    </row>
    <row r="93" spans="1:7" s="30" customFormat="1" x14ac:dyDescent="0.25">
      <c r="A93" s="273" t="s">
        <v>2</v>
      </c>
      <c r="B93" s="50" t="s">
        <v>40</v>
      </c>
      <c r="C93" s="55">
        <v>6.7900000000000002E-2</v>
      </c>
      <c r="D93" s="78">
        <f>C93*(+D89+D92)</f>
        <v>679.35</v>
      </c>
      <c r="E93" s="78">
        <f>C93*(+E89+E92)</f>
        <v>673.25</v>
      </c>
      <c r="F93" s="78">
        <f>C93*(+F89+F92)</f>
        <v>706.78</v>
      </c>
      <c r="G93" s="62">
        <f>C93*(+G89+G92)</f>
        <v>716.11</v>
      </c>
    </row>
    <row r="94" spans="1:7" s="30" customFormat="1" ht="31.5" x14ac:dyDescent="0.25">
      <c r="A94" s="396" t="s">
        <v>3</v>
      </c>
      <c r="B94" s="50" t="s">
        <v>50</v>
      </c>
      <c r="C94" s="55">
        <f>1-C102</f>
        <v>0.85750000000000004</v>
      </c>
      <c r="D94" s="78">
        <f>+D89+D92+D93</f>
        <v>10684.46</v>
      </c>
      <c r="E94" s="78">
        <f>+E89+E92+E93</f>
        <v>10588.61</v>
      </c>
      <c r="F94" s="78">
        <f>+F89+F92+F93</f>
        <v>11115.87</v>
      </c>
      <c r="G94" s="62">
        <f>+G89+G92+G93</f>
        <v>11262.63</v>
      </c>
    </row>
    <row r="95" spans="1:7" s="30" customFormat="1" x14ac:dyDescent="0.25">
      <c r="A95" s="396"/>
      <c r="B95" s="276" t="s">
        <v>41</v>
      </c>
      <c r="C95" s="89"/>
      <c r="D95" s="162">
        <f>+D94/C94</f>
        <v>12460.01</v>
      </c>
      <c r="E95" s="162">
        <f>+E94/C94</f>
        <v>12348.23</v>
      </c>
      <c r="F95" s="162">
        <f>+F94/C94</f>
        <v>12963.11</v>
      </c>
      <c r="G95" s="208">
        <f>+G94/C94</f>
        <v>13134.26</v>
      </c>
    </row>
    <row r="96" spans="1:7" s="30" customFormat="1" x14ac:dyDescent="0.25">
      <c r="A96" s="396"/>
      <c r="B96" s="276" t="s">
        <v>42</v>
      </c>
      <c r="C96" s="276"/>
      <c r="D96" s="78"/>
      <c r="E96" s="78"/>
      <c r="F96" s="78"/>
      <c r="G96" s="62"/>
    </row>
    <row r="97" spans="1:7" s="30" customFormat="1" x14ac:dyDescent="0.25">
      <c r="A97" s="396"/>
      <c r="B97" s="50" t="s">
        <v>130</v>
      </c>
      <c r="C97" s="55">
        <v>1.6500000000000001E-2</v>
      </c>
      <c r="D97" s="78">
        <f>+D95*C97</f>
        <v>205.59</v>
      </c>
      <c r="E97" s="78">
        <f>+E95*C97</f>
        <v>203.75</v>
      </c>
      <c r="F97" s="78">
        <f>+F95*C97</f>
        <v>213.89</v>
      </c>
      <c r="G97" s="62">
        <f>+G95*C97</f>
        <v>216.72</v>
      </c>
    </row>
    <row r="98" spans="1:7" s="30" customFormat="1" x14ac:dyDescent="0.25">
      <c r="A98" s="396"/>
      <c r="B98" s="50" t="s">
        <v>131</v>
      </c>
      <c r="C98" s="55">
        <v>7.5999999999999998E-2</v>
      </c>
      <c r="D98" s="78">
        <f>+D95*C98</f>
        <v>946.96</v>
      </c>
      <c r="E98" s="78">
        <f>+E95*C98</f>
        <v>938.47</v>
      </c>
      <c r="F98" s="78">
        <f>+F95*C98</f>
        <v>985.2</v>
      </c>
      <c r="G98" s="62">
        <f>+G95*C98</f>
        <v>998.2</v>
      </c>
    </row>
    <row r="99" spans="1:7" s="30" customFormat="1" x14ac:dyDescent="0.25">
      <c r="A99" s="396"/>
      <c r="B99" s="51" t="s">
        <v>43</v>
      </c>
      <c r="C99" s="89"/>
      <c r="D99" s="78"/>
      <c r="E99" s="78"/>
      <c r="F99" s="78"/>
      <c r="G99" s="62"/>
    </row>
    <row r="100" spans="1:7" s="30" customFormat="1" x14ac:dyDescent="0.25">
      <c r="A100" s="396"/>
      <c r="B100" s="51" t="s">
        <v>44</v>
      </c>
      <c r="C100" s="95"/>
      <c r="D100" s="78"/>
      <c r="E100" s="78"/>
      <c r="F100" s="78"/>
      <c r="G100" s="62"/>
    </row>
    <row r="101" spans="1:7" s="30" customFormat="1" x14ac:dyDescent="0.25">
      <c r="A101" s="396"/>
      <c r="B101" s="50" t="s">
        <v>142</v>
      </c>
      <c r="C101" s="55">
        <v>0.05</v>
      </c>
      <c r="D101" s="78">
        <f>+D95*C101</f>
        <v>623</v>
      </c>
      <c r="E101" s="78">
        <f>+E95*C101</f>
        <v>617.41</v>
      </c>
      <c r="F101" s="78">
        <f>+F95*C101</f>
        <v>648.16</v>
      </c>
      <c r="G101" s="62">
        <f>+G95*C101</f>
        <v>656.71</v>
      </c>
    </row>
    <row r="102" spans="1:7" s="30" customFormat="1" x14ac:dyDescent="0.25">
      <c r="A102" s="273"/>
      <c r="B102" s="99" t="s">
        <v>45</v>
      </c>
      <c r="C102" s="100">
        <f>SUM(C97:C101)</f>
        <v>0.14249999999999999</v>
      </c>
      <c r="D102" s="101">
        <f>SUM(D97:D101)</f>
        <v>1775.55</v>
      </c>
      <c r="E102" s="101">
        <f>SUM(E97:E101)</f>
        <v>1759.63</v>
      </c>
      <c r="F102" s="101">
        <f>SUM(F97:F101)</f>
        <v>1847.25</v>
      </c>
      <c r="G102" s="197">
        <f>SUM(G97:G101)</f>
        <v>1871.63</v>
      </c>
    </row>
    <row r="103" spans="1:7" s="30" customFormat="1" ht="15.75" customHeight="1" x14ac:dyDescent="0.25">
      <c r="A103" s="358" t="s">
        <v>46</v>
      </c>
      <c r="B103" s="359"/>
      <c r="C103" s="359"/>
      <c r="D103" s="80">
        <f>+D92+D93+D102</f>
        <v>2746.31</v>
      </c>
      <c r="E103" s="80">
        <f>+E92+E93+E102</f>
        <v>2721.68</v>
      </c>
      <c r="F103" s="80">
        <f>+F92+F93+F102</f>
        <v>2857.21</v>
      </c>
      <c r="G103" s="63">
        <f>+G92+G93+G102</f>
        <v>2894.92</v>
      </c>
    </row>
    <row r="104" spans="1:7" s="30" customFormat="1" ht="15.75" customHeight="1" x14ac:dyDescent="0.25">
      <c r="A104" s="407" t="s">
        <v>47</v>
      </c>
      <c r="B104" s="408"/>
      <c r="C104" s="408"/>
      <c r="D104" s="163" t="s">
        <v>10</v>
      </c>
      <c r="E104" s="163" t="s">
        <v>10</v>
      </c>
      <c r="F104" s="163" t="s">
        <v>10</v>
      </c>
      <c r="G104" s="209" t="s">
        <v>10</v>
      </c>
    </row>
    <row r="105" spans="1:7" s="30" customFormat="1" x14ac:dyDescent="0.25">
      <c r="A105" s="49" t="s">
        <v>0</v>
      </c>
      <c r="B105" s="399" t="s">
        <v>48</v>
      </c>
      <c r="C105" s="399"/>
      <c r="D105" s="78">
        <f>+D24</f>
        <v>4234.92</v>
      </c>
      <c r="E105" s="78">
        <f>+E24</f>
        <v>4234.92</v>
      </c>
      <c r="F105" s="78">
        <f>+F24</f>
        <v>4817.37</v>
      </c>
      <c r="G105" s="62">
        <f>+G24</f>
        <v>4817.37</v>
      </c>
    </row>
    <row r="106" spans="1:7" s="30" customFormat="1" x14ac:dyDescent="0.25">
      <c r="A106" s="49" t="s">
        <v>2</v>
      </c>
      <c r="B106" s="399" t="s">
        <v>159</v>
      </c>
      <c r="C106" s="399"/>
      <c r="D106" s="78">
        <f>+D53</f>
        <v>3526.31</v>
      </c>
      <c r="E106" s="78">
        <f>+E53</f>
        <v>3441.64</v>
      </c>
      <c r="F106" s="78">
        <f>+F53</f>
        <v>3682.08</v>
      </c>
      <c r="G106" s="62">
        <f>+G53</f>
        <v>3811.75</v>
      </c>
    </row>
    <row r="107" spans="1:7" s="30" customFormat="1" x14ac:dyDescent="0.25">
      <c r="A107" s="49" t="s">
        <v>3</v>
      </c>
      <c r="B107" s="399" t="s">
        <v>157</v>
      </c>
      <c r="C107" s="399"/>
      <c r="D107" s="78">
        <f>D61</f>
        <v>302.8</v>
      </c>
      <c r="E107" s="78">
        <f>E61</f>
        <v>302.8</v>
      </c>
      <c r="F107" s="78">
        <f>F61</f>
        <v>344.44</v>
      </c>
      <c r="G107" s="62">
        <f>G61</f>
        <v>344.44</v>
      </c>
    </row>
    <row r="108" spans="1:7" s="30" customFormat="1" x14ac:dyDescent="0.25">
      <c r="A108" s="49" t="s">
        <v>5</v>
      </c>
      <c r="B108" s="399" t="s">
        <v>150</v>
      </c>
      <c r="C108" s="399"/>
      <c r="D108" s="78">
        <f>D81</f>
        <v>235.73</v>
      </c>
      <c r="E108" s="78">
        <f>E81</f>
        <v>233.26</v>
      </c>
      <c r="F108" s="78">
        <f>F81</f>
        <v>258.43</v>
      </c>
      <c r="G108" s="62">
        <f>G81</f>
        <v>262.19</v>
      </c>
    </row>
    <row r="109" spans="1:7" s="30" customFormat="1" x14ac:dyDescent="0.25">
      <c r="A109" s="49" t="s">
        <v>20</v>
      </c>
      <c r="B109" s="399" t="s">
        <v>158</v>
      </c>
      <c r="C109" s="399"/>
      <c r="D109" s="78">
        <f>D88</f>
        <v>1413.94</v>
      </c>
      <c r="E109" s="78">
        <f>E88</f>
        <v>1413.94</v>
      </c>
      <c r="F109" s="78">
        <f>F88</f>
        <v>1003.59</v>
      </c>
      <c r="G109" s="62">
        <f>G88</f>
        <v>1003.59</v>
      </c>
    </row>
    <row r="110" spans="1:7" s="30" customFormat="1" ht="15.75" customHeight="1" x14ac:dyDescent="0.25">
      <c r="A110" s="396" t="s">
        <v>160</v>
      </c>
      <c r="B110" s="400"/>
      <c r="C110" s="400"/>
      <c r="D110" s="101">
        <f>SUM(D105:D109)</f>
        <v>9713.7000000000007</v>
      </c>
      <c r="E110" s="101">
        <f>SUM(E105:E109)</f>
        <v>9626.56</v>
      </c>
      <c r="F110" s="101">
        <f>SUM(F105:F109)</f>
        <v>10105.91</v>
      </c>
      <c r="G110" s="197">
        <f>SUM(G105:G109)</f>
        <v>10239.34</v>
      </c>
    </row>
    <row r="111" spans="1:7" s="30" customFormat="1" x14ac:dyDescent="0.25">
      <c r="A111" s="273" t="s">
        <v>20</v>
      </c>
      <c r="B111" s="399" t="s">
        <v>161</v>
      </c>
      <c r="C111" s="399"/>
      <c r="D111" s="78">
        <f>+D103</f>
        <v>2746.31</v>
      </c>
      <c r="E111" s="78">
        <f>+E103</f>
        <v>2721.68</v>
      </c>
      <c r="F111" s="78">
        <f>+F103</f>
        <v>2857.21</v>
      </c>
      <c r="G111" s="62">
        <f>+G103</f>
        <v>2894.92</v>
      </c>
    </row>
    <row r="112" spans="1:7" s="30" customFormat="1" ht="16.5" customHeight="1" thickBot="1" x14ac:dyDescent="0.3">
      <c r="A112" s="393" t="s">
        <v>49</v>
      </c>
      <c r="B112" s="394"/>
      <c r="C112" s="394"/>
      <c r="D112" s="165">
        <f>+D110+D111</f>
        <v>12460.01</v>
      </c>
      <c r="E112" s="165">
        <f>+E110+E111</f>
        <v>12348.24</v>
      </c>
      <c r="F112" s="165">
        <f>+F110+F111</f>
        <v>12963.12</v>
      </c>
      <c r="G112" s="210">
        <f>+G110+G111</f>
        <v>13134.26</v>
      </c>
    </row>
    <row r="113" spans="2:7" x14ac:dyDescent="0.25">
      <c r="C113" s="31"/>
      <c r="D113" s="31"/>
      <c r="E113" s="31"/>
      <c r="F113" s="31"/>
      <c r="G113" s="33"/>
    </row>
    <row r="114" spans="2:7" x14ac:dyDescent="0.25">
      <c r="B114" s="28"/>
      <c r="C114" s="31"/>
      <c r="D114" s="31"/>
      <c r="E114" s="31"/>
      <c r="F114" s="31"/>
      <c r="G114" s="34"/>
    </row>
    <row r="115" spans="2:7" x14ac:dyDescent="0.25">
      <c r="B115" s="28"/>
      <c r="C115" s="31"/>
      <c r="D115" s="31"/>
      <c r="E115" s="31"/>
      <c r="F115" s="31"/>
      <c r="G115" s="34" t="s">
        <v>129</v>
      </c>
    </row>
    <row r="116" spans="2:7" x14ac:dyDescent="0.25">
      <c r="B116" s="28"/>
      <c r="C116" s="395"/>
      <c r="D116" s="395"/>
      <c r="E116" s="395"/>
      <c r="F116" s="395"/>
      <c r="G116" s="395"/>
    </row>
    <row r="117" spans="2:7" x14ac:dyDescent="0.25">
      <c r="B117" s="28"/>
      <c r="C117" s="31"/>
      <c r="D117" s="31"/>
      <c r="E117" s="31"/>
      <c r="F117" s="31"/>
      <c r="G117" s="35"/>
    </row>
    <row r="119" spans="2:7" x14ac:dyDescent="0.25">
      <c r="B119" s="36"/>
    </row>
    <row r="124" spans="2:7" x14ac:dyDescent="0.25">
      <c r="B124" s="28"/>
    </row>
  </sheetData>
  <mergeCells count="69">
    <mergeCell ref="B11:C11"/>
    <mergeCell ref="B12:C12"/>
    <mergeCell ref="B13:C13"/>
    <mergeCell ref="B14:C14"/>
    <mergeCell ref="D11:G11"/>
    <mergeCell ref="D12:E12"/>
    <mergeCell ref="F12:G12"/>
    <mergeCell ref="D13:G13"/>
    <mergeCell ref="D14:G14"/>
    <mergeCell ref="A1:G1"/>
    <mergeCell ref="A2:G2"/>
    <mergeCell ref="C3:G3"/>
    <mergeCell ref="A10:C10"/>
    <mergeCell ref="C5:G5"/>
    <mergeCell ref="C6:G6"/>
    <mergeCell ref="A7:G7"/>
    <mergeCell ref="A8:G8"/>
    <mergeCell ref="A9:G9"/>
    <mergeCell ref="D10:G10"/>
    <mergeCell ref="C4:G4"/>
    <mergeCell ref="A89:C89"/>
    <mergeCell ref="B84:C84"/>
    <mergeCell ref="A81:C81"/>
    <mergeCell ref="A82:C82"/>
    <mergeCell ref="A90:C90"/>
    <mergeCell ref="B85:C85"/>
    <mergeCell ref="B86:C86"/>
    <mergeCell ref="B87:C87"/>
    <mergeCell ref="B83:C83"/>
    <mergeCell ref="A88:C88"/>
    <mergeCell ref="A80:B80"/>
    <mergeCell ref="A75:C75"/>
    <mergeCell ref="A76:C76"/>
    <mergeCell ref="C116:G116"/>
    <mergeCell ref="A94:A101"/>
    <mergeCell ref="A103:C103"/>
    <mergeCell ref="A104:C104"/>
    <mergeCell ref="B105:C105"/>
    <mergeCell ref="B106:C106"/>
    <mergeCell ref="B107:C107"/>
    <mergeCell ref="A110:C110"/>
    <mergeCell ref="B111:C111"/>
    <mergeCell ref="A112:C112"/>
    <mergeCell ref="B108:C108"/>
    <mergeCell ref="B109:C109"/>
    <mergeCell ref="B91:C91"/>
    <mergeCell ref="A74:B74"/>
    <mergeCell ref="A30:G30"/>
    <mergeCell ref="B26:C26"/>
    <mergeCell ref="A29:B29"/>
    <mergeCell ref="B77:C77"/>
    <mergeCell ref="B31:C31"/>
    <mergeCell ref="A40:B40"/>
    <mergeCell ref="A48:C48"/>
    <mergeCell ref="B42:C42"/>
    <mergeCell ref="A41:C41"/>
    <mergeCell ref="A49:C49"/>
    <mergeCell ref="A70:B70"/>
    <mergeCell ref="A53:C53"/>
    <mergeCell ref="B55:C55"/>
    <mergeCell ref="A61:C61"/>
    <mergeCell ref="B63:C63"/>
    <mergeCell ref="A25:C25"/>
    <mergeCell ref="A15:C15"/>
    <mergeCell ref="B16:C16"/>
    <mergeCell ref="A24:C24"/>
    <mergeCell ref="B72:C72"/>
    <mergeCell ref="A54:C54"/>
    <mergeCell ref="A62:C62"/>
  </mergeCells>
  <hyperlinks>
    <hyperlink ref="B39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8" orientation="portrait"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view="pageBreakPreview" zoomScaleNormal="115" zoomScaleSheetLayoutView="100" workbookViewId="0">
      <selection activeCell="A6" sqref="A6"/>
    </sheetView>
  </sheetViews>
  <sheetFormatPr defaultColWidth="9.140625" defaultRowHeight="15.75" x14ac:dyDescent="0.25"/>
  <cols>
    <col min="1" max="1" width="4.42578125" style="29" bestFit="1" customWidth="1"/>
    <col min="2" max="2" width="72.7109375" style="31" customWidth="1"/>
    <col min="3" max="4" width="15.7109375" style="32" customWidth="1"/>
    <col min="5" max="5" width="15.7109375" style="37" customWidth="1"/>
    <col min="6" max="16384" width="9.140625" style="28"/>
  </cols>
  <sheetData>
    <row r="1" spans="1:5" x14ac:dyDescent="0.25">
      <c r="A1" s="340"/>
      <c r="B1" s="341"/>
      <c r="C1" s="341"/>
      <c r="D1" s="341"/>
      <c r="E1" s="342"/>
    </row>
    <row r="2" spans="1:5" s="38" customFormat="1" ht="16.5" customHeight="1" x14ac:dyDescent="0.25">
      <c r="A2" s="379" t="s">
        <v>132</v>
      </c>
      <c r="B2" s="380"/>
      <c r="C2" s="380"/>
      <c r="D2" s="380"/>
      <c r="E2" s="381"/>
    </row>
    <row r="3" spans="1:5" s="38" customFormat="1" ht="15.75" customHeight="1" x14ac:dyDescent="0.25">
      <c r="A3" s="40" t="s">
        <v>0</v>
      </c>
      <c r="B3" s="41" t="s">
        <v>1</v>
      </c>
      <c r="C3" s="423">
        <v>2024</v>
      </c>
      <c r="D3" s="424"/>
      <c r="E3" s="425"/>
    </row>
    <row r="4" spans="1:5" s="38" customFormat="1" ht="75" customHeight="1" x14ac:dyDescent="0.25">
      <c r="A4" s="40" t="s">
        <v>2</v>
      </c>
      <c r="B4" s="41" t="s">
        <v>140</v>
      </c>
      <c r="C4" s="420" t="s">
        <v>263</v>
      </c>
      <c r="D4" s="421"/>
      <c r="E4" s="422"/>
    </row>
    <row r="5" spans="1:5" s="38" customFormat="1" ht="15.75" customHeight="1" x14ac:dyDescent="0.25">
      <c r="A5" s="40" t="s">
        <v>3</v>
      </c>
      <c r="B5" s="41" t="s">
        <v>4</v>
      </c>
      <c r="C5" s="420" t="s">
        <v>271</v>
      </c>
      <c r="D5" s="421"/>
      <c r="E5" s="422"/>
    </row>
    <row r="6" spans="1:5" s="38" customFormat="1" x14ac:dyDescent="0.25">
      <c r="A6" s="40" t="s">
        <v>5</v>
      </c>
      <c r="B6" s="41" t="s">
        <v>143</v>
      </c>
      <c r="C6" s="420">
        <v>12</v>
      </c>
      <c r="D6" s="421"/>
      <c r="E6" s="422"/>
    </row>
    <row r="7" spans="1:5" s="38" customFormat="1" x14ac:dyDescent="0.25">
      <c r="A7" s="349" t="s">
        <v>6</v>
      </c>
      <c r="B7" s="350"/>
      <c r="C7" s="350"/>
      <c r="D7" s="350"/>
      <c r="E7" s="351"/>
    </row>
    <row r="8" spans="1:5" s="38" customFormat="1" x14ac:dyDescent="0.25">
      <c r="A8" s="349" t="s">
        <v>7</v>
      </c>
      <c r="B8" s="350"/>
      <c r="C8" s="350"/>
      <c r="D8" s="350"/>
      <c r="E8" s="351"/>
    </row>
    <row r="9" spans="1:5" s="38" customFormat="1" ht="15.75" customHeight="1" x14ac:dyDescent="0.25">
      <c r="A9" s="349" t="s">
        <v>8</v>
      </c>
      <c r="B9" s="350"/>
      <c r="C9" s="350"/>
      <c r="D9" s="350"/>
      <c r="E9" s="351"/>
    </row>
    <row r="10" spans="1:5" s="38" customFormat="1" ht="30" customHeight="1" x14ac:dyDescent="0.25">
      <c r="A10" s="352" t="s">
        <v>9</v>
      </c>
      <c r="B10" s="353"/>
      <c r="C10" s="353"/>
      <c r="D10" s="409" t="s">
        <v>10</v>
      </c>
      <c r="E10" s="410"/>
    </row>
    <row r="11" spans="1:5" s="38" customFormat="1" ht="60" customHeight="1" x14ac:dyDescent="0.25">
      <c r="A11" s="40">
        <v>1</v>
      </c>
      <c r="B11" s="42" t="s">
        <v>133</v>
      </c>
      <c r="C11" s="414" t="s">
        <v>264</v>
      </c>
      <c r="D11" s="414"/>
      <c r="E11" s="415"/>
    </row>
    <row r="12" spans="1:5" s="38" customFormat="1" ht="30" customHeight="1" x14ac:dyDescent="0.25">
      <c r="A12" s="40">
        <v>2</v>
      </c>
      <c r="B12" s="42" t="s">
        <v>11</v>
      </c>
      <c r="C12" s="416">
        <v>3325</v>
      </c>
      <c r="D12" s="416"/>
      <c r="E12" s="417"/>
    </row>
    <row r="13" spans="1:5" s="38" customFormat="1" ht="15.75" customHeight="1" x14ac:dyDescent="0.25">
      <c r="A13" s="40">
        <v>3</v>
      </c>
      <c r="B13" s="42" t="s">
        <v>12</v>
      </c>
      <c r="C13" s="414" t="s">
        <v>236</v>
      </c>
      <c r="D13" s="414"/>
      <c r="E13" s="415"/>
    </row>
    <row r="14" spans="1:5" s="38" customFormat="1" x14ac:dyDescent="0.25">
      <c r="A14" s="40">
        <v>4</v>
      </c>
      <c r="B14" s="43" t="s">
        <v>13</v>
      </c>
      <c r="C14" s="418"/>
      <c r="D14" s="418"/>
      <c r="E14" s="419"/>
    </row>
    <row r="15" spans="1:5" s="39" customFormat="1" ht="31.5" x14ac:dyDescent="0.25">
      <c r="A15" s="376" t="s">
        <v>14</v>
      </c>
      <c r="B15" s="377"/>
      <c r="C15" s="377"/>
      <c r="D15" s="168" t="s">
        <v>266</v>
      </c>
      <c r="E15" s="182" t="s">
        <v>268</v>
      </c>
    </row>
    <row r="16" spans="1:5" s="39" customFormat="1" x14ac:dyDescent="0.25">
      <c r="A16" s="280">
        <v>1</v>
      </c>
      <c r="B16" s="356" t="s">
        <v>15</v>
      </c>
      <c r="C16" s="356"/>
      <c r="D16" s="57" t="s">
        <v>10</v>
      </c>
      <c r="E16" s="58" t="s">
        <v>10</v>
      </c>
    </row>
    <row r="17" spans="1:5" s="38" customFormat="1" ht="15.75" customHeight="1" x14ac:dyDescent="0.25">
      <c r="A17" s="44" t="s">
        <v>0</v>
      </c>
      <c r="B17" s="45" t="s">
        <v>16</v>
      </c>
      <c r="C17" s="43"/>
      <c r="D17" s="75">
        <f>C12</f>
        <v>3325</v>
      </c>
      <c r="E17" s="59">
        <f>C12</f>
        <v>3325</v>
      </c>
    </row>
    <row r="18" spans="1:5" s="38" customFormat="1" ht="15.75" customHeight="1" x14ac:dyDescent="0.25">
      <c r="A18" s="44" t="s">
        <v>2</v>
      </c>
      <c r="B18" s="45" t="s">
        <v>17</v>
      </c>
      <c r="C18" s="76"/>
      <c r="D18" s="77"/>
      <c r="E18" s="60"/>
    </row>
    <row r="19" spans="1:5" s="38" customFormat="1" ht="15.75" customHeight="1" x14ac:dyDescent="0.25">
      <c r="A19" s="44" t="s">
        <v>3</v>
      </c>
      <c r="B19" s="45" t="s">
        <v>18</v>
      </c>
      <c r="C19" s="109" t="s">
        <v>243</v>
      </c>
      <c r="D19" s="77">
        <f>40%*1412</f>
        <v>564.79999999999995</v>
      </c>
      <c r="E19" s="60">
        <f>40%*1412</f>
        <v>564.79999999999995</v>
      </c>
    </row>
    <row r="20" spans="1:5" s="38" customFormat="1" ht="15.75" customHeight="1" x14ac:dyDescent="0.25">
      <c r="A20" s="44" t="s">
        <v>5</v>
      </c>
      <c r="B20" s="45" t="s">
        <v>19</v>
      </c>
      <c r="C20" s="76"/>
      <c r="D20" s="77"/>
      <c r="E20" s="60"/>
    </row>
    <row r="21" spans="1:5" s="38" customFormat="1" ht="15.75" customHeight="1" x14ac:dyDescent="0.25">
      <c r="A21" s="44" t="s">
        <v>20</v>
      </c>
      <c r="B21" s="45" t="s">
        <v>204</v>
      </c>
      <c r="C21" s="76"/>
      <c r="D21" s="77"/>
      <c r="E21" s="60"/>
    </row>
    <row r="22" spans="1:5" s="38" customFormat="1" x14ac:dyDescent="0.25">
      <c r="A22" s="44" t="s">
        <v>21</v>
      </c>
      <c r="B22" s="45" t="s">
        <v>138</v>
      </c>
      <c r="C22" s="48"/>
      <c r="D22" s="77"/>
      <c r="E22" s="60"/>
    </row>
    <row r="23" spans="1:5" s="38" customFormat="1" ht="15.75" customHeight="1" x14ac:dyDescent="0.25">
      <c r="A23" s="44" t="s">
        <v>22</v>
      </c>
      <c r="B23" s="46" t="s">
        <v>139</v>
      </c>
      <c r="C23" s="48"/>
      <c r="D23" s="77"/>
      <c r="E23" s="60"/>
    </row>
    <row r="24" spans="1:5" s="39" customFormat="1" ht="15.75" customHeight="1" x14ac:dyDescent="0.25">
      <c r="A24" s="367" t="s">
        <v>152</v>
      </c>
      <c r="B24" s="368"/>
      <c r="C24" s="368"/>
      <c r="D24" s="66">
        <f>SUM(D17:D23)</f>
        <v>3889.8</v>
      </c>
      <c r="E24" s="61">
        <f>SUM(E17:E23)</f>
        <v>3889.8</v>
      </c>
    </row>
    <row r="25" spans="1:5" s="39" customFormat="1" x14ac:dyDescent="0.25">
      <c r="A25" s="376" t="s">
        <v>51</v>
      </c>
      <c r="B25" s="377"/>
      <c r="C25" s="377"/>
      <c r="D25" s="377"/>
      <c r="E25" s="411"/>
    </row>
    <row r="26" spans="1:5" s="38" customFormat="1" x14ac:dyDescent="0.25">
      <c r="A26" s="273" t="s">
        <v>141</v>
      </c>
      <c r="B26" s="354" t="s">
        <v>205</v>
      </c>
      <c r="C26" s="382"/>
      <c r="D26" s="69" t="s">
        <v>10</v>
      </c>
      <c r="E26" s="173" t="s">
        <v>10</v>
      </c>
    </row>
    <row r="27" spans="1:5" s="38" customFormat="1" x14ac:dyDescent="0.25">
      <c r="A27" s="49" t="s">
        <v>0</v>
      </c>
      <c r="B27" s="50" t="s">
        <v>28</v>
      </c>
      <c r="C27" s="55">
        <f>1/12</f>
        <v>8.3299999999999999E-2</v>
      </c>
      <c r="D27" s="78">
        <f>(D24)*C27</f>
        <v>324.02</v>
      </c>
      <c r="E27" s="62">
        <f>(E24)*C27</f>
        <v>324.02</v>
      </c>
    </row>
    <row r="28" spans="1:5" s="38" customFormat="1" x14ac:dyDescent="0.25">
      <c r="A28" s="49" t="s">
        <v>2</v>
      </c>
      <c r="B28" s="50" t="s">
        <v>148</v>
      </c>
      <c r="C28" s="55">
        <v>0.1111</v>
      </c>
      <c r="D28" s="78">
        <f>(D24)*C28</f>
        <v>432.16</v>
      </c>
      <c r="E28" s="62">
        <f>(E24)*C28</f>
        <v>432.16</v>
      </c>
    </row>
    <row r="29" spans="1:5" x14ac:dyDescent="0.25">
      <c r="A29" s="358" t="s">
        <v>27</v>
      </c>
      <c r="B29" s="359"/>
      <c r="C29" s="92">
        <f>SUM(C27:C28)</f>
        <v>0.19439999999999999</v>
      </c>
      <c r="D29" s="80">
        <f>SUM(D27:D28)</f>
        <v>756.18</v>
      </c>
      <c r="E29" s="63">
        <f>SUM(E27:E28)</f>
        <v>756.18</v>
      </c>
    </row>
    <row r="30" spans="1:5" ht="32.25" customHeight="1" x14ac:dyDescent="0.25">
      <c r="A30" s="362" t="s">
        <v>190</v>
      </c>
      <c r="B30" s="363"/>
      <c r="C30" s="363"/>
      <c r="D30" s="363"/>
      <c r="E30" s="364"/>
    </row>
    <row r="31" spans="1:5" x14ac:dyDescent="0.25">
      <c r="A31" s="270" t="s">
        <v>141</v>
      </c>
      <c r="B31" s="360" t="s">
        <v>25</v>
      </c>
      <c r="C31" s="361"/>
      <c r="D31" s="279"/>
      <c r="E31" s="171"/>
    </row>
    <row r="32" spans="1:5" x14ac:dyDescent="0.25">
      <c r="A32" s="49" t="s">
        <v>0</v>
      </c>
      <c r="B32" s="81" t="s">
        <v>207</v>
      </c>
      <c r="C32" s="55">
        <v>0.2</v>
      </c>
      <c r="D32" s="78">
        <f t="shared" ref="D32:D39" si="0">($E$24+D$29)*C32</f>
        <v>929.2</v>
      </c>
      <c r="E32" s="62">
        <f t="shared" ref="E32:E39" si="1">($E$24+E$29)*C32</f>
        <v>929.2</v>
      </c>
    </row>
    <row r="33" spans="1:5" x14ac:dyDescent="0.25">
      <c r="A33" s="49" t="s">
        <v>2</v>
      </c>
      <c r="B33" s="81" t="s">
        <v>208</v>
      </c>
      <c r="C33" s="82">
        <v>1.4999999999999999E-2</v>
      </c>
      <c r="D33" s="78">
        <f t="shared" si="0"/>
        <v>69.69</v>
      </c>
      <c r="E33" s="62">
        <f t="shared" si="1"/>
        <v>69.69</v>
      </c>
    </row>
    <row r="34" spans="1:5" x14ac:dyDescent="0.25">
      <c r="A34" s="49" t="s">
        <v>3</v>
      </c>
      <c r="B34" s="81" t="s">
        <v>209</v>
      </c>
      <c r="C34" s="82">
        <v>0.01</v>
      </c>
      <c r="D34" s="78">
        <f t="shared" si="0"/>
        <v>46.46</v>
      </c>
      <c r="E34" s="62">
        <f t="shared" si="1"/>
        <v>46.46</v>
      </c>
    </row>
    <row r="35" spans="1:5" ht="31.5" x14ac:dyDescent="0.25">
      <c r="A35" s="49" t="s">
        <v>5</v>
      </c>
      <c r="B35" s="269" t="s">
        <v>210</v>
      </c>
      <c r="C35" s="82">
        <v>2E-3</v>
      </c>
      <c r="D35" s="78">
        <f t="shared" si="0"/>
        <v>9.2899999999999991</v>
      </c>
      <c r="E35" s="62">
        <f t="shared" si="1"/>
        <v>9.2899999999999991</v>
      </c>
    </row>
    <row r="36" spans="1:5" x14ac:dyDescent="0.25">
      <c r="A36" s="49" t="s">
        <v>20</v>
      </c>
      <c r="B36" s="81" t="s">
        <v>211</v>
      </c>
      <c r="C36" s="82">
        <v>2.5000000000000001E-2</v>
      </c>
      <c r="D36" s="78">
        <f t="shared" si="0"/>
        <v>116.15</v>
      </c>
      <c r="E36" s="62">
        <f t="shared" si="1"/>
        <v>116.15</v>
      </c>
    </row>
    <row r="37" spans="1:5" x14ac:dyDescent="0.25">
      <c r="A37" s="49" t="s">
        <v>21</v>
      </c>
      <c r="B37" s="108" t="s">
        <v>212</v>
      </c>
      <c r="C37" s="82">
        <v>0.08</v>
      </c>
      <c r="D37" s="78">
        <f t="shared" si="0"/>
        <v>371.68</v>
      </c>
      <c r="E37" s="62">
        <f t="shared" si="1"/>
        <v>371.68</v>
      </c>
    </row>
    <row r="38" spans="1:5" ht="47.25" x14ac:dyDescent="0.25">
      <c r="A38" s="49" t="s">
        <v>22</v>
      </c>
      <c r="B38" s="269" t="s">
        <v>213</v>
      </c>
      <c r="C38" s="82">
        <v>0.03</v>
      </c>
      <c r="D38" s="78">
        <f t="shared" si="0"/>
        <v>139.38</v>
      </c>
      <c r="E38" s="62">
        <f t="shared" si="1"/>
        <v>139.38</v>
      </c>
    </row>
    <row r="39" spans="1:5" x14ac:dyDescent="0.25">
      <c r="A39" s="49" t="s">
        <v>26</v>
      </c>
      <c r="B39" s="107" t="s">
        <v>214</v>
      </c>
      <c r="C39" s="82">
        <v>6.0000000000000001E-3</v>
      </c>
      <c r="D39" s="78">
        <f t="shared" si="0"/>
        <v>27.88</v>
      </c>
      <c r="E39" s="62">
        <f t="shared" si="1"/>
        <v>27.88</v>
      </c>
    </row>
    <row r="40" spans="1:5" s="30" customFormat="1" x14ac:dyDescent="0.25">
      <c r="A40" s="358" t="s">
        <v>27</v>
      </c>
      <c r="B40" s="359"/>
      <c r="C40" s="56">
        <f>SUM(C32:C39)</f>
        <v>0.36799999999999999</v>
      </c>
      <c r="D40" s="80">
        <f>SUM(D32:D39)</f>
        <v>1709.73</v>
      </c>
      <c r="E40" s="63">
        <f>SUM(E32:E39)</f>
        <v>1709.73</v>
      </c>
    </row>
    <row r="41" spans="1:5" s="30" customFormat="1" x14ac:dyDescent="0.25">
      <c r="A41" s="370" t="s">
        <v>173</v>
      </c>
      <c r="B41" s="371"/>
      <c r="C41" s="371"/>
      <c r="D41" s="371"/>
      <c r="E41" s="412"/>
    </row>
    <row r="42" spans="1:5" s="30" customFormat="1" x14ac:dyDescent="0.25">
      <c r="A42" s="74" t="s">
        <v>216</v>
      </c>
      <c r="B42" s="374" t="s">
        <v>217</v>
      </c>
      <c r="C42" s="375"/>
      <c r="D42" s="278"/>
      <c r="E42" s="281"/>
    </row>
    <row r="43" spans="1:5" s="30" customFormat="1" x14ac:dyDescent="0.25">
      <c r="A43" s="91" t="s">
        <v>0</v>
      </c>
      <c r="B43" s="53" t="s">
        <v>144</v>
      </c>
      <c r="C43" s="106"/>
      <c r="D43" s="102">
        <v>0</v>
      </c>
      <c r="E43" s="206">
        <v>0</v>
      </c>
    </row>
    <row r="44" spans="1:5" s="30" customFormat="1" x14ac:dyDescent="0.25">
      <c r="A44" s="47" t="s">
        <v>2</v>
      </c>
      <c r="B44" s="46" t="s">
        <v>191</v>
      </c>
      <c r="C44" s="73"/>
      <c r="D44" s="75">
        <v>0</v>
      </c>
      <c r="E44" s="59">
        <v>0</v>
      </c>
    </row>
    <row r="45" spans="1:5" s="30" customFormat="1" x14ac:dyDescent="0.25">
      <c r="A45" s="49" t="s">
        <v>3</v>
      </c>
      <c r="B45" s="50" t="s">
        <v>134</v>
      </c>
      <c r="C45" s="67"/>
      <c r="D45" s="85">
        <v>0</v>
      </c>
      <c r="E45" s="64">
        <v>0</v>
      </c>
    </row>
    <row r="46" spans="1:5" s="30" customFormat="1" x14ac:dyDescent="0.25">
      <c r="A46" s="49" t="s">
        <v>5</v>
      </c>
      <c r="B46" s="50" t="s">
        <v>135</v>
      </c>
      <c r="C46" s="55"/>
      <c r="D46" s="85">
        <f>(D17*C46*0.0199*2)/12</f>
        <v>0</v>
      </c>
      <c r="E46" s="64">
        <f>(E17*C46*0.0199*2)/12</f>
        <v>0</v>
      </c>
    </row>
    <row r="47" spans="1:5" s="30" customFormat="1" x14ac:dyDescent="0.25">
      <c r="A47" s="49" t="s">
        <v>20</v>
      </c>
      <c r="B47" s="50" t="s">
        <v>136</v>
      </c>
      <c r="C47" s="67"/>
      <c r="D47" s="78">
        <v>0</v>
      </c>
      <c r="E47" s="62">
        <v>0</v>
      </c>
    </row>
    <row r="48" spans="1:5" s="30" customFormat="1" ht="15.75" customHeight="1" x14ac:dyDescent="0.25">
      <c r="A48" s="274" t="s">
        <v>23</v>
      </c>
      <c r="B48" s="275"/>
      <c r="C48" s="86"/>
      <c r="D48" s="80">
        <f>SUM(D43:D47)</f>
        <v>0</v>
      </c>
      <c r="E48" s="63">
        <f>SUM(E43:E47)</f>
        <v>0</v>
      </c>
    </row>
    <row r="49" spans="1:5" s="30" customFormat="1" ht="15.75" customHeight="1" x14ac:dyDescent="0.25">
      <c r="A49" s="370" t="s">
        <v>224</v>
      </c>
      <c r="B49" s="371"/>
      <c r="C49" s="371"/>
      <c r="D49" s="371"/>
      <c r="E49" s="412"/>
    </row>
    <row r="50" spans="1:5" s="30" customFormat="1" ht="15.75" customHeight="1" x14ac:dyDescent="0.25">
      <c r="A50" s="280" t="s">
        <v>141</v>
      </c>
      <c r="B50" s="103" t="s">
        <v>145</v>
      </c>
      <c r="C50" s="277"/>
      <c r="D50" s="65">
        <f>D29</f>
        <v>756.18</v>
      </c>
      <c r="E50" s="194">
        <f>E29</f>
        <v>756.18</v>
      </c>
    </row>
    <row r="51" spans="1:5" s="30" customFormat="1" ht="15.75" customHeight="1" x14ac:dyDescent="0.25">
      <c r="A51" s="280" t="s">
        <v>215</v>
      </c>
      <c r="B51" s="103" t="s">
        <v>146</v>
      </c>
      <c r="C51" s="277"/>
      <c r="D51" s="65">
        <f>D40</f>
        <v>1709.73</v>
      </c>
      <c r="E51" s="194">
        <f>E40</f>
        <v>1709.73</v>
      </c>
    </row>
    <row r="52" spans="1:5" s="30" customFormat="1" ht="15.75" customHeight="1" x14ac:dyDescent="0.25">
      <c r="A52" s="280" t="s">
        <v>216</v>
      </c>
      <c r="B52" s="103" t="s">
        <v>147</v>
      </c>
      <c r="C52" s="277"/>
      <c r="D52" s="65">
        <f>D48</f>
        <v>0</v>
      </c>
      <c r="E52" s="194">
        <f>E48</f>
        <v>0</v>
      </c>
    </row>
    <row r="53" spans="1:5" s="30" customFormat="1" ht="15.75" customHeight="1" x14ac:dyDescent="0.25">
      <c r="A53" s="367" t="s">
        <v>153</v>
      </c>
      <c r="B53" s="368"/>
      <c r="C53" s="368"/>
      <c r="D53" s="66">
        <f>SUM(D50:D52)</f>
        <v>2465.91</v>
      </c>
      <c r="E53" s="61">
        <f>SUM(E50:E52)</f>
        <v>2465.91</v>
      </c>
    </row>
    <row r="54" spans="1:5" s="30" customFormat="1" ht="15.75" customHeight="1" x14ac:dyDescent="0.25">
      <c r="A54" s="376" t="s">
        <v>162</v>
      </c>
      <c r="B54" s="377"/>
      <c r="C54" s="377"/>
      <c r="D54" s="377"/>
      <c r="E54" s="411"/>
    </row>
    <row r="55" spans="1:5" s="30" customFormat="1" ht="15.75" customHeight="1" x14ac:dyDescent="0.25">
      <c r="A55" s="273" t="s">
        <v>200</v>
      </c>
      <c r="B55" s="354" t="s">
        <v>32</v>
      </c>
      <c r="C55" s="355"/>
      <c r="D55" s="69" t="s">
        <v>10</v>
      </c>
      <c r="E55" s="173" t="s">
        <v>10</v>
      </c>
    </row>
    <row r="56" spans="1:5" s="30" customFormat="1" ht="15.75" customHeight="1" x14ac:dyDescent="0.25">
      <c r="A56" s="49" t="s">
        <v>0</v>
      </c>
      <c r="B56" s="50" t="s">
        <v>33</v>
      </c>
      <c r="C56" s="55">
        <v>4.5999999999999999E-3</v>
      </c>
      <c r="D56" s="78">
        <f>D$24*C56</f>
        <v>17.89</v>
      </c>
      <c r="E56" s="62">
        <f>E$24*C56</f>
        <v>17.89</v>
      </c>
    </row>
    <row r="57" spans="1:5" s="30" customFormat="1" ht="15.75" customHeight="1" x14ac:dyDescent="0.25">
      <c r="A57" s="49" t="s">
        <v>2</v>
      </c>
      <c r="B57" s="50" t="s">
        <v>34</v>
      </c>
      <c r="C57" s="55">
        <v>4.0000000000000002E-4</v>
      </c>
      <c r="D57" s="78">
        <f>D$24*C57</f>
        <v>1.56</v>
      </c>
      <c r="E57" s="62">
        <f>E$24*C57</f>
        <v>1.56</v>
      </c>
    </row>
    <row r="58" spans="1:5" s="30" customFormat="1" ht="15.75" customHeight="1" x14ac:dyDescent="0.25">
      <c r="A58" s="49" t="s">
        <v>3</v>
      </c>
      <c r="B58" s="52" t="s">
        <v>35</v>
      </c>
      <c r="C58" s="55">
        <v>1.9400000000000001E-2</v>
      </c>
      <c r="D58" s="78">
        <f>D$24*C58</f>
        <v>75.459999999999994</v>
      </c>
      <c r="E58" s="62">
        <f>E$24*C58</f>
        <v>75.459999999999994</v>
      </c>
    </row>
    <row r="59" spans="1:5" s="30" customFormat="1" ht="30.75" customHeight="1" x14ac:dyDescent="0.25">
      <c r="A59" s="49" t="s">
        <v>5</v>
      </c>
      <c r="B59" s="50" t="s">
        <v>174</v>
      </c>
      <c r="C59" s="55">
        <v>7.1000000000000004E-3</v>
      </c>
      <c r="D59" s="78">
        <f>D$24*C59</f>
        <v>27.62</v>
      </c>
      <c r="E59" s="62">
        <f>E$24*C59</f>
        <v>27.62</v>
      </c>
    </row>
    <row r="60" spans="1:5" s="30" customFormat="1" ht="15.75" customHeight="1" x14ac:dyDescent="0.25">
      <c r="A60" s="49" t="s">
        <v>20</v>
      </c>
      <c r="B60" s="50" t="s">
        <v>149</v>
      </c>
      <c r="C60" s="55">
        <v>0.04</v>
      </c>
      <c r="D60" s="78">
        <f>D$24*C60</f>
        <v>155.59</v>
      </c>
      <c r="E60" s="62">
        <f>E$24*C60</f>
        <v>155.59</v>
      </c>
    </row>
    <row r="61" spans="1:5" s="30" customFormat="1" x14ac:dyDescent="0.25">
      <c r="A61" s="367" t="s">
        <v>154</v>
      </c>
      <c r="B61" s="368"/>
      <c r="C61" s="368"/>
      <c r="D61" s="66">
        <f>SUM(D56:D60)</f>
        <v>278.12</v>
      </c>
      <c r="E61" s="61">
        <f>SUM(E56:E60)</f>
        <v>278.12</v>
      </c>
    </row>
    <row r="62" spans="1:5" s="30" customFormat="1" x14ac:dyDescent="0.25">
      <c r="A62" s="376" t="s">
        <v>163</v>
      </c>
      <c r="B62" s="377"/>
      <c r="C62" s="377"/>
      <c r="D62" s="377"/>
      <c r="E62" s="411"/>
    </row>
    <row r="63" spans="1:5" s="30" customFormat="1" x14ac:dyDescent="0.25">
      <c r="A63" s="273" t="s">
        <v>199</v>
      </c>
      <c r="B63" s="369" t="s">
        <v>198</v>
      </c>
      <c r="C63" s="369"/>
      <c r="D63" s="69" t="s">
        <v>10</v>
      </c>
      <c r="E63" s="173" t="s">
        <v>10</v>
      </c>
    </row>
    <row r="64" spans="1:5" s="30" customFormat="1" x14ac:dyDescent="0.25">
      <c r="A64" s="49" t="s">
        <v>0</v>
      </c>
      <c r="B64" s="50" t="s">
        <v>192</v>
      </c>
      <c r="C64" s="55">
        <f>C28/12</f>
        <v>9.2999999999999992E-3</v>
      </c>
      <c r="D64" s="78">
        <f t="shared" ref="D64:D69" si="2">(D$24+D$53+D$61+D$84)*C64</f>
        <v>62.04</v>
      </c>
      <c r="E64" s="62">
        <f t="shared" ref="E64:E69" si="3">(E$24+E$53+E$61+E$84)*C64</f>
        <v>62.04</v>
      </c>
    </row>
    <row r="65" spans="1:5" s="30" customFormat="1" x14ac:dyDescent="0.25">
      <c r="A65" s="49" t="s">
        <v>2</v>
      </c>
      <c r="B65" s="50" t="s">
        <v>193</v>
      </c>
      <c r="C65" s="55">
        <v>1.66E-2</v>
      </c>
      <c r="D65" s="78">
        <f t="shared" si="2"/>
        <v>110.73</v>
      </c>
      <c r="E65" s="62">
        <f t="shared" si="3"/>
        <v>110.73</v>
      </c>
    </row>
    <row r="66" spans="1:5" s="30" customFormat="1" x14ac:dyDescent="0.25">
      <c r="A66" s="49" t="s">
        <v>3</v>
      </c>
      <c r="B66" s="50" t="s">
        <v>194</v>
      </c>
      <c r="C66" s="55">
        <v>2.0000000000000001E-4</v>
      </c>
      <c r="D66" s="78">
        <f t="shared" si="2"/>
        <v>1.33</v>
      </c>
      <c r="E66" s="62">
        <f t="shared" si="3"/>
        <v>1.33</v>
      </c>
    </row>
    <row r="67" spans="1:5" s="30" customFormat="1" x14ac:dyDescent="0.25">
      <c r="A67" s="49" t="s">
        <v>5</v>
      </c>
      <c r="B67" s="50" t="s">
        <v>195</v>
      </c>
      <c r="C67" s="55">
        <v>2.7000000000000001E-3</v>
      </c>
      <c r="D67" s="78">
        <f t="shared" si="2"/>
        <v>18.010000000000002</v>
      </c>
      <c r="E67" s="62">
        <f t="shared" si="3"/>
        <v>18.010000000000002</v>
      </c>
    </row>
    <row r="68" spans="1:5" s="30" customFormat="1" x14ac:dyDescent="0.25">
      <c r="A68" s="49" t="s">
        <v>20</v>
      </c>
      <c r="B68" s="50" t="s">
        <v>196</v>
      </c>
      <c r="C68" s="55">
        <v>2.9999999999999997E-4</v>
      </c>
      <c r="D68" s="78">
        <f t="shared" si="2"/>
        <v>2</v>
      </c>
      <c r="E68" s="62">
        <f t="shared" si="3"/>
        <v>2</v>
      </c>
    </row>
    <row r="69" spans="1:5" s="30" customFormat="1" ht="15.75" customHeight="1" x14ac:dyDescent="0.25">
      <c r="A69" s="49" t="s">
        <v>21</v>
      </c>
      <c r="B69" s="276" t="s">
        <v>197</v>
      </c>
      <c r="C69" s="55">
        <v>0</v>
      </c>
      <c r="D69" s="78">
        <f t="shared" si="2"/>
        <v>0</v>
      </c>
      <c r="E69" s="62">
        <f t="shared" si="3"/>
        <v>0</v>
      </c>
    </row>
    <row r="70" spans="1:5" s="30" customFormat="1" x14ac:dyDescent="0.25">
      <c r="A70" s="358" t="s">
        <v>29</v>
      </c>
      <c r="B70" s="359"/>
      <c r="C70" s="56">
        <f>SUM(C64:C69)</f>
        <v>2.9100000000000001E-2</v>
      </c>
      <c r="D70" s="80">
        <f>SUM(D64:D69)</f>
        <v>194.11</v>
      </c>
      <c r="E70" s="63">
        <f>SUM(E64:E69)</f>
        <v>194.11</v>
      </c>
    </row>
    <row r="71" spans="1:5" s="30" customFormat="1" x14ac:dyDescent="0.25">
      <c r="A71" s="280"/>
      <c r="B71" s="277"/>
      <c r="C71" s="93"/>
      <c r="D71" s="93"/>
      <c r="E71" s="59"/>
    </row>
    <row r="72" spans="1:5" s="30" customFormat="1" x14ac:dyDescent="0.25">
      <c r="A72" s="280"/>
      <c r="B72" s="356" t="s">
        <v>201</v>
      </c>
      <c r="C72" s="357"/>
      <c r="D72" s="69" t="s">
        <v>10</v>
      </c>
      <c r="E72" s="173" t="s">
        <v>10</v>
      </c>
    </row>
    <row r="73" spans="1:5" s="30" customFormat="1" x14ac:dyDescent="0.25">
      <c r="A73" s="49" t="s">
        <v>0</v>
      </c>
      <c r="B73" s="50" t="s">
        <v>202</v>
      </c>
      <c r="C73" s="55">
        <v>0</v>
      </c>
      <c r="D73" s="78">
        <f>(D$24+D$53+D$61)*C73</f>
        <v>0</v>
      </c>
      <c r="E73" s="62">
        <f>(E$24+E$53+E$61)*C73</f>
        <v>0</v>
      </c>
    </row>
    <row r="74" spans="1:5" s="30" customFormat="1" ht="15.75" customHeight="1" x14ac:dyDescent="0.25">
      <c r="A74" s="358" t="s">
        <v>27</v>
      </c>
      <c r="B74" s="359"/>
      <c r="C74" s="94">
        <f>C73</f>
        <v>0</v>
      </c>
      <c r="D74" s="80">
        <f>D73</f>
        <v>0</v>
      </c>
      <c r="E74" s="63">
        <f>E73</f>
        <v>0</v>
      </c>
    </row>
    <row r="75" spans="1:5" s="30" customFormat="1" ht="15.75" customHeight="1" x14ac:dyDescent="0.25">
      <c r="A75" s="370" t="s">
        <v>30</v>
      </c>
      <c r="B75" s="371"/>
      <c r="C75" s="371"/>
      <c r="D75" s="371"/>
      <c r="E75" s="412"/>
    </row>
    <row r="76" spans="1:5" s="30" customFormat="1" ht="15.75" customHeight="1" x14ac:dyDescent="0.25">
      <c r="A76" s="405" t="s">
        <v>203</v>
      </c>
      <c r="B76" s="406"/>
      <c r="C76" s="406"/>
      <c r="D76" s="406"/>
      <c r="E76" s="413"/>
    </row>
    <row r="77" spans="1:5" s="30" customFormat="1" ht="15.75" customHeight="1" x14ac:dyDescent="0.25">
      <c r="A77" s="273">
        <v>4</v>
      </c>
      <c r="B77" s="354" t="s">
        <v>31</v>
      </c>
      <c r="C77" s="355"/>
      <c r="D77" s="69" t="s">
        <v>10</v>
      </c>
      <c r="E77" s="173" t="s">
        <v>10</v>
      </c>
    </row>
    <row r="78" spans="1:5" s="30" customFormat="1" ht="15.75" customHeight="1" x14ac:dyDescent="0.25">
      <c r="A78" s="49" t="s">
        <v>199</v>
      </c>
      <c r="B78" s="276" t="s">
        <v>198</v>
      </c>
      <c r="C78" s="55">
        <f>C70</f>
        <v>2.9100000000000001E-2</v>
      </c>
      <c r="D78" s="78">
        <f>D70</f>
        <v>194.11</v>
      </c>
      <c r="E78" s="62">
        <f>E70</f>
        <v>194.11</v>
      </c>
    </row>
    <row r="79" spans="1:5" s="30" customFormat="1" ht="15.75" customHeight="1" x14ac:dyDescent="0.25">
      <c r="A79" s="49" t="s">
        <v>221</v>
      </c>
      <c r="B79" s="276" t="s">
        <v>201</v>
      </c>
      <c r="C79" s="55">
        <v>0</v>
      </c>
      <c r="D79" s="78">
        <f>(D$24+D$53+D$61)*C79</f>
        <v>0</v>
      </c>
      <c r="E79" s="62">
        <f>(E$24+E$53+E$61)*C79</f>
        <v>0</v>
      </c>
    </row>
    <row r="80" spans="1:5" s="30" customFormat="1" ht="15.75" customHeight="1" x14ac:dyDescent="0.25">
      <c r="A80" s="358" t="s">
        <v>27</v>
      </c>
      <c r="B80" s="359"/>
      <c r="C80" s="92">
        <f>SUM(C78:C79)</f>
        <v>2.9100000000000001E-2</v>
      </c>
      <c r="D80" s="80">
        <f>SUM(D78:D79)</f>
        <v>194.11</v>
      </c>
      <c r="E80" s="63">
        <f>SUM(E78:E79)</f>
        <v>194.11</v>
      </c>
    </row>
    <row r="81" spans="1:5" s="30" customFormat="1" ht="15.75" customHeight="1" x14ac:dyDescent="0.25">
      <c r="A81" s="367" t="s">
        <v>155</v>
      </c>
      <c r="B81" s="368"/>
      <c r="C81" s="368"/>
      <c r="D81" s="66">
        <f>SUM(D74+D80)</f>
        <v>194.11</v>
      </c>
      <c r="E81" s="61">
        <f>SUM(E74+E80)</f>
        <v>194.11</v>
      </c>
    </row>
    <row r="82" spans="1:5" s="30" customFormat="1" ht="15.75" customHeight="1" x14ac:dyDescent="0.25">
      <c r="A82" s="376" t="s">
        <v>164</v>
      </c>
      <c r="B82" s="377"/>
      <c r="C82" s="377"/>
      <c r="D82" s="377"/>
      <c r="E82" s="411"/>
    </row>
    <row r="83" spans="1:5" s="30" customFormat="1" ht="15.75" customHeight="1" x14ac:dyDescent="0.25">
      <c r="A83" s="273">
        <v>5</v>
      </c>
      <c r="B83" s="354" t="s">
        <v>24</v>
      </c>
      <c r="C83" s="355"/>
      <c r="D83" s="69" t="s">
        <v>10</v>
      </c>
      <c r="E83" s="173" t="s">
        <v>10</v>
      </c>
    </row>
    <row r="84" spans="1:5" s="30" customFormat="1" ht="15.75" customHeight="1" x14ac:dyDescent="0.25">
      <c r="A84" s="47" t="s">
        <v>0</v>
      </c>
      <c r="B84" s="401" t="s">
        <v>222</v>
      </c>
      <c r="C84" s="401"/>
      <c r="D84" s="78">
        <f>Uniformes!H7</f>
        <v>36.619999999999997</v>
      </c>
      <c r="E84" s="62">
        <f>Uniformes!H7</f>
        <v>36.619999999999997</v>
      </c>
    </row>
    <row r="85" spans="1:5" s="30" customFormat="1" ht="15.75" customHeight="1" x14ac:dyDescent="0.25">
      <c r="A85" s="47" t="s">
        <v>2</v>
      </c>
      <c r="B85" s="401" t="s">
        <v>223</v>
      </c>
      <c r="C85" s="401"/>
      <c r="D85" s="78">
        <f>Materiais!H18</f>
        <v>64.819999999999993</v>
      </c>
      <c r="E85" s="62">
        <f>Materiais!H19</f>
        <v>64.819999999999993</v>
      </c>
    </row>
    <row r="86" spans="1:5" s="30" customFormat="1" ht="15.75" customHeight="1" x14ac:dyDescent="0.25">
      <c r="A86" s="47" t="s">
        <v>3</v>
      </c>
      <c r="B86" s="401" t="s">
        <v>187</v>
      </c>
      <c r="C86" s="401"/>
      <c r="D86" s="78">
        <f>Equipamentos!H19</f>
        <v>1312.5</v>
      </c>
      <c r="E86" s="62">
        <f>Equipamentos!H20</f>
        <v>1312.5</v>
      </c>
    </row>
    <row r="87" spans="1:5" s="30" customFormat="1" ht="15.75" customHeight="1" x14ac:dyDescent="0.25">
      <c r="A87" s="47" t="s">
        <v>5</v>
      </c>
      <c r="B87" s="401" t="s">
        <v>137</v>
      </c>
      <c r="C87" s="401"/>
      <c r="D87" s="78">
        <v>0</v>
      </c>
      <c r="E87" s="62">
        <v>0</v>
      </c>
    </row>
    <row r="88" spans="1:5" s="30" customFormat="1" ht="15.75" customHeight="1" x14ac:dyDescent="0.25">
      <c r="A88" s="367" t="s">
        <v>156</v>
      </c>
      <c r="B88" s="368"/>
      <c r="C88" s="368"/>
      <c r="D88" s="66">
        <f>SUM(D84:D87)</f>
        <v>1413.94</v>
      </c>
      <c r="E88" s="61">
        <f>SUM(E84:E87)</f>
        <v>1413.94</v>
      </c>
    </row>
    <row r="89" spans="1:5" s="30" customFormat="1" ht="30" customHeight="1" x14ac:dyDescent="0.25">
      <c r="A89" s="365" t="s">
        <v>225</v>
      </c>
      <c r="B89" s="366"/>
      <c r="C89" s="366"/>
      <c r="D89" s="161">
        <f>D88+D81+D61+D53+D24</f>
        <v>8241.8799999999992</v>
      </c>
      <c r="E89" s="207">
        <f>E88+E81+E61+E53+E24</f>
        <v>8241.8799999999992</v>
      </c>
    </row>
    <row r="90" spans="1:5" s="30" customFormat="1" ht="19.5" customHeight="1" x14ac:dyDescent="0.25">
      <c r="A90" s="376" t="s">
        <v>165</v>
      </c>
      <c r="B90" s="377"/>
      <c r="C90" s="377"/>
      <c r="D90" s="377"/>
      <c r="E90" s="411"/>
    </row>
    <row r="91" spans="1:5" s="30" customFormat="1" x14ac:dyDescent="0.25">
      <c r="A91" s="273">
        <v>6</v>
      </c>
      <c r="B91" s="354" t="s">
        <v>38</v>
      </c>
      <c r="C91" s="382"/>
      <c r="D91" s="69" t="s">
        <v>10</v>
      </c>
      <c r="E91" s="173" t="s">
        <v>10</v>
      </c>
    </row>
    <row r="92" spans="1:5" s="30" customFormat="1" x14ac:dyDescent="0.25">
      <c r="A92" s="273" t="s">
        <v>0</v>
      </c>
      <c r="B92" s="50" t="s">
        <v>39</v>
      </c>
      <c r="C92" s="55">
        <v>0.03</v>
      </c>
      <c r="D92" s="78">
        <f>+D89*C92</f>
        <v>247.26</v>
      </c>
      <c r="E92" s="62">
        <f>+E89*C92</f>
        <v>247.26</v>
      </c>
    </row>
    <row r="93" spans="1:5" s="30" customFormat="1" x14ac:dyDescent="0.25">
      <c r="A93" s="273" t="s">
        <v>2</v>
      </c>
      <c r="B93" s="50" t="s">
        <v>40</v>
      </c>
      <c r="C93" s="55">
        <v>6.7900000000000002E-2</v>
      </c>
      <c r="D93" s="78">
        <f>C93*(+D89+D92)</f>
        <v>576.41</v>
      </c>
      <c r="E93" s="62">
        <f>C93*(+E89+E92)</f>
        <v>576.41</v>
      </c>
    </row>
    <row r="94" spans="1:5" s="30" customFormat="1" ht="31.5" x14ac:dyDescent="0.25">
      <c r="A94" s="396" t="s">
        <v>3</v>
      </c>
      <c r="B94" s="50" t="s">
        <v>50</v>
      </c>
      <c r="C94" s="55">
        <f>1-C102</f>
        <v>0.85750000000000004</v>
      </c>
      <c r="D94" s="78">
        <f>+D89+D92+D93</f>
        <v>9065.5499999999993</v>
      </c>
      <c r="E94" s="62">
        <f>+E89+E92+E93</f>
        <v>9065.5499999999993</v>
      </c>
    </row>
    <row r="95" spans="1:5" s="30" customFormat="1" x14ac:dyDescent="0.25">
      <c r="A95" s="396"/>
      <c r="B95" s="276" t="s">
        <v>41</v>
      </c>
      <c r="C95" s="89"/>
      <c r="D95" s="162">
        <f>+D94/C94</f>
        <v>10572.07</v>
      </c>
      <c r="E95" s="208">
        <f>+E94/C94</f>
        <v>10572.07</v>
      </c>
    </row>
    <row r="96" spans="1:5" s="30" customFormat="1" x14ac:dyDescent="0.25">
      <c r="A96" s="396"/>
      <c r="B96" s="276" t="s">
        <v>42</v>
      </c>
      <c r="C96" s="68"/>
      <c r="D96" s="78"/>
      <c r="E96" s="62"/>
    </row>
    <row r="97" spans="1:5" s="30" customFormat="1" x14ac:dyDescent="0.25">
      <c r="A97" s="396"/>
      <c r="B97" s="50" t="s">
        <v>130</v>
      </c>
      <c r="C97" s="55">
        <v>1.6500000000000001E-2</v>
      </c>
      <c r="D97" s="78">
        <f>+D95*C97</f>
        <v>174.44</v>
      </c>
      <c r="E97" s="62">
        <f>+E95*C97</f>
        <v>174.44</v>
      </c>
    </row>
    <row r="98" spans="1:5" s="30" customFormat="1" x14ac:dyDescent="0.25">
      <c r="A98" s="396"/>
      <c r="B98" s="50" t="s">
        <v>131</v>
      </c>
      <c r="C98" s="55">
        <v>7.5999999999999998E-2</v>
      </c>
      <c r="D98" s="78">
        <f>+D95*C98</f>
        <v>803.48</v>
      </c>
      <c r="E98" s="62">
        <f>+E95*C98</f>
        <v>803.48</v>
      </c>
    </row>
    <row r="99" spans="1:5" s="30" customFormat="1" x14ac:dyDescent="0.25">
      <c r="A99" s="396"/>
      <c r="B99" s="51" t="s">
        <v>43</v>
      </c>
      <c r="C99" s="89"/>
      <c r="D99" s="78"/>
      <c r="E99" s="62"/>
    </row>
    <row r="100" spans="1:5" s="30" customFormat="1" x14ac:dyDescent="0.25">
      <c r="A100" s="396"/>
      <c r="B100" s="51" t="s">
        <v>44</v>
      </c>
      <c r="C100" s="95"/>
      <c r="D100" s="78"/>
      <c r="E100" s="62"/>
    </row>
    <row r="101" spans="1:5" s="30" customFormat="1" x14ac:dyDescent="0.25">
      <c r="A101" s="396"/>
      <c r="B101" s="50" t="s">
        <v>142</v>
      </c>
      <c r="C101" s="55">
        <v>0.05</v>
      </c>
      <c r="D101" s="78">
        <f>+D95*C101</f>
        <v>528.6</v>
      </c>
      <c r="E101" s="62">
        <f>+E95*C101</f>
        <v>528.6</v>
      </c>
    </row>
    <row r="102" spans="1:5" s="30" customFormat="1" x14ac:dyDescent="0.25">
      <c r="A102" s="273"/>
      <c r="B102" s="99" t="s">
        <v>45</v>
      </c>
      <c r="C102" s="100">
        <f>SUM(C97:C101)</f>
        <v>0.14249999999999999</v>
      </c>
      <c r="D102" s="101">
        <f>SUM(D97:D101)</f>
        <v>1506.52</v>
      </c>
      <c r="E102" s="197">
        <f>SUM(E97:E101)</f>
        <v>1506.52</v>
      </c>
    </row>
    <row r="103" spans="1:5" s="30" customFormat="1" ht="15.75" customHeight="1" x14ac:dyDescent="0.25">
      <c r="A103" s="358" t="s">
        <v>46</v>
      </c>
      <c r="B103" s="359"/>
      <c r="C103" s="359"/>
      <c r="D103" s="80">
        <f>+D92+D93+D102</f>
        <v>2330.19</v>
      </c>
      <c r="E103" s="63">
        <f>+E92+E93+E102</f>
        <v>2330.19</v>
      </c>
    </row>
    <row r="104" spans="1:5" s="30" customFormat="1" ht="15.75" customHeight="1" x14ac:dyDescent="0.25">
      <c r="A104" s="407" t="s">
        <v>47</v>
      </c>
      <c r="B104" s="408"/>
      <c r="C104" s="408"/>
      <c r="D104" s="163" t="s">
        <v>10</v>
      </c>
      <c r="E104" s="209" t="s">
        <v>10</v>
      </c>
    </row>
    <row r="105" spans="1:5" s="30" customFormat="1" x14ac:dyDescent="0.25">
      <c r="A105" s="49" t="s">
        <v>0</v>
      </c>
      <c r="B105" s="399" t="s">
        <v>48</v>
      </c>
      <c r="C105" s="399"/>
      <c r="D105" s="78">
        <f>+D24</f>
        <v>3889.8</v>
      </c>
      <c r="E105" s="62">
        <f>+E24</f>
        <v>3889.8</v>
      </c>
    </row>
    <row r="106" spans="1:5" s="30" customFormat="1" x14ac:dyDescent="0.25">
      <c r="A106" s="49" t="s">
        <v>2</v>
      </c>
      <c r="B106" s="399" t="s">
        <v>159</v>
      </c>
      <c r="C106" s="399"/>
      <c r="D106" s="78">
        <f>+D53</f>
        <v>2465.91</v>
      </c>
      <c r="E106" s="62">
        <f>+E53</f>
        <v>2465.91</v>
      </c>
    </row>
    <row r="107" spans="1:5" s="30" customFormat="1" x14ac:dyDescent="0.25">
      <c r="A107" s="49" t="s">
        <v>3</v>
      </c>
      <c r="B107" s="399" t="s">
        <v>157</v>
      </c>
      <c r="C107" s="399"/>
      <c r="D107" s="78">
        <f>D61</f>
        <v>278.12</v>
      </c>
      <c r="E107" s="62">
        <f>E61</f>
        <v>278.12</v>
      </c>
    </row>
    <row r="108" spans="1:5" s="30" customFormat="1" x14ac:dyDescent="0.25">
      <c r="A108" s="49" t="s">
        <v>5</v>
      </c>
      <c r="B108" s="399" t="s">
        <v>150</v>
      </c>
      <c r="C108" s="399"/>
      <c r="D108" s="78">
        <f>D81</f>
        <v>194.11</v>
      </c>
      <c r="E108" s="62">
        <f>E81</f>
        <v>194.11</v>
      </c>
    </row>
    <row r="109" spans="1:5" s="30" customFormat="1" x14ac:dyDescent="0.25">
      <c r="A109" s="49" t="s">
        <v>20</v>
      </c>
      <c r="B109" s="399" t="s">
        <v>158</v>
      </c>
      <c r="C109" s="399"/>
      <c r="D109" s="78">
        <f>D88</f>
        <v>1413.94</v>
      </c>
      <c r="E109" s="62">
        <f>E88</f>
        <v>1413.94</v>
      </c>
    </row>
    <row r="110" spans="1:5" s="30" customFormat="1" ht="15.75" customHeight="1" x14ac:dyDescent="0.25">
      <c r="A110" s="396" t="s">
        <v>160</v>
      </c>
      <c r="B110" s="400"/>
      <c r="C110" s="400"/>
      <c r="D110" s="101">
        <f>SUM(D105:D109)</f>
        <v>8241.8799999999992</v>
      </c>
      <c r="E110" s="197">
        <f>SUM(E105:E109)</f>
        <v>8241.8799999999992</v>
      </c>
    </row>
    <row r="111" spans="1:5" s="30" customFormat="1" x14ac:dyDescent="0.25">
      <c r="A111" s="273" t="s">
        <v>20</v>
      </c>
      <c r="B111" s="399" t="s">
        <v>161</v>
      </c>
      <c r="C111" s="399"/>
      <c r="D111" s="78">
        <f>+D103</f>
        <v>2330.19</v>
      </c>
      <c r="E111" s="62">
        <f>+E103</f>
        <v>2330.19</v>
      </c>
    </row>
    <row r="112" spans="1:5" s="30" customFormat="1" ht="16.5" customHeight="1" thickBot="1" x14ac:dyDescent="0.3">
      <c r="A112" s="393" t="s">
        <v>49</v>
      </c>
      <c r="B112" s="394"/>
      <c r="C112" s="394"/>
      <c r="D112" s="165">
        <f>+D110+D111</f>
        <v>10572.07</v>
      </c>
      <c r="E112" s="210">
        <f>+E110+E111</f>
        <v>10572.07</v>
      </c>
    </row>
    <row r="113" spans="2:5" x14ac:dyDescent="0.25">
      <c r="C113" s="31"/>
      <c r="D113" s="31"/>
      <c r="E113" s="33"/>
    </row>
    <row r="114" spans="2:5" x14ac:dyDescent="0.25">
      <c r="B114" s="28"/>
      <c r="C114" s="31"/>
      <c r="D114" s="31"/>
      <c r="E114" s="34"/>
    </row>
    <row r="115" spans="2:5" x14ac:dyDescent="0.25">
      <c r="B115" s="28"/>
      <c r="C115" s="31"/>
      <c r="D115" s="31"/>
      <c r="E115" s="34" t="s">
        <v>129</v>
      </c>
    </row>
    <row r="116" spans="2:5" x14ac:dyDescent="0.25">
      <c r="B116" s="28"/>
      <c r="C116" s="395"/>
      <c r="D116" s="395"/>
      <c r="E116" s="395"/>
    </row>
    <row r="117" spans="2:5" x14ac:dyDescent="0.25">
      <c r="B117" s="28"/>
      <c r="C117" s="31"/>
      <c r="D117" s="31"/>
      <c r="E117" s="35"/>
    </row>
    <row r="119" spans="2:5" x14ac:dyDescent="0.25">
      <c r="B119" s="36"/>
    </row>
    <row r="124" spans="2:5" x14ac:dyDescent="0.25">
      <c r="B124" s="28"/>
    </row>
  </sheetData>
  <mergeCells count="63">
    <mergeCell ref="C6:E6"/>
    <mergeCell ref="C5:E5"/>
    <mergeCell ref="A1:E1"/>
    <mergeCell ref="A2:E2"/>
    <mergeCell ref="C3:E3"/>
    <mergeCell ref="C4:E4"/>
    <mergeCell ref="A24:C24"/>
    <mergeCell ref="A7:E7"/>
    <mergeCell ref="A8:E8"/>
    <mergeCell ref="A9:E9"/>
    <mergeCell ref="A10:C10"/>
    <mergeCell ref="C11:E11"/>
    <mergeCell ref="C12:E12"/>
    <mergeCell ref="C13:E13"/>
    <mergeCell ref="C14:E14"/>
    <mergeCell ref="A15:C15"/>
    <mergeCell ref="B16:C16"/>
    <mergeCell ref="D10:E10"/>
    <mergeCell ref="B55:C55"/>
    <mergeCell ref="A25:E25"/>
    <mergeCell ref="B26:C26"/>
    <mergeCell ref="A29:B29"/>
    <mergeCell ref="A30:E30"/>
    <mergeCell ref="B31:C31"/>
    <mergeCell ref="A40:B40"/>
    <mergeCell ref="A41:E41"/>
    <mergeCell ref="B42:C42"/>
    <mergeCell ref="A49:E49"/>
    <mergeCell ref="A53:C53"/>
    <mergeCell ref="A54:E54"/>
    <mergeCell ref="A82:E82"/>
    <mergeCell ref="A61:C61"/>
    <mergeCell ref="A62:E62"/>
    <mergeCell ref="B63:C63"/>
    <mergeCell ref="A70:B70"/>
    <mergeCell ref="B72:C72"/>
    <mergeCell ref="A74:B74"/>
    <mergeCell ref="A75:E75"/>
    <mergeCell ref="A76:E76"/>
    <mergeCell ref="B77:C77"/>
    <mergeCell ref="A80:B80"/>
    <mergeCell ref="A81:C81"/>
    <mergeCell ref="A104:C104"/>
    <mergeCell ref="B83:C83"/>
    <mergeCell ref="B84:C84"/>
    <mergeCell ref="B85:C85"/>
    <mergeCell ref="B86:C86"/>
    <mergeCell ref="B87:C87"/>
    <mergeCell ref="A88:C88"/>
    <mergeCell ref="A89:C89"/>
    <mergeCell ref="A90:E90"/>
    <mergeCell ref="B91:C91"/>
    <mergeCell ref="A94:A101"/>
    <mergeCell ref="A103:C103"/>
    <mergeCell ref="B111:C111"/>
    <mergeCell ref="A112:C112"/>
    <mergeCell ref="C116:E116"/>
    <mergeCell ref="B105:C105"/>
    <mergeCell ref="B106:C106"/>
    <mergeCell ref="B107:C107"/>
    <mergeCell ref="B108:C108"/>
    <mergeCell ref="B109:C109"/>
    <mergeCell ref="A110:C110"/>
  </mergeCells>
  <hyperlinks>
    <hyperlink ref="B39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view="pageBreakPreview" zoomScaleNormal="115" zoomScaleSheetLayoutView="100" workbookViewId="0">
      <selection activeCell="A6" sqref="A6"/>
    </sheetView>
  </sheetViews>
  <sheetFormatPr defaultColWidth="9.140625" defaultRowHeight="15.75" x14ac:dyDescent="0.25"/>
  <cols>
    <col min="1" max="1" width="4.42578125" style="29" bestFit="1" customWidth="1"/>
    <col min="2" max="2" width="72.7109375" style="31" customWidth="1"/>
    <col min="3" max="4" width="15.7109375" style="32" customWidth="1"/>
    <col min="5" max="5" width="15.7109375" style="37" customWidth="1"/>
    <col min="6" max="6" width="9.140625" style="28" customWidth="1"/>
    <col min="7" max="16384" width="9.140625" style="28"/>
  </cols>
  <sheetData>
    <row r="1" spans="1:5" x14ac:dyDescent="0.25">
      <c r="A1" s="340"/>
      <c r="B1" s="341"/>
      <c r="C1" s="341"/>
      <c r="D1" s="341"/>
      <c r="E1" s="342"/>
    </row>
    <row r="2" spans="1:5" s="38" customFormat="1" ht="16.5" customHeight="1" x14ac:dyDescent="0.25">
      <c r="A2" s="379" t="s">
        <v>132</v>
      </c>
      <c r="B2" s="380"/>
      <c r="C2" s="380"/>
      <c r="D2" s="380"/>
      <c r="E2" s="381"/>
    </row>
    <row r="3" spans="1:5" s="38" customFormat="1" ht="15.75" customHeight="1" x14ac:dyDescent="0.25">
      <c r="A3" s="40" t="s">
        <v>0</v>
      </c>
      <c r="B3" s="41" t="s">
        <v>1</v>
      </c>
      <c r="C3" s="423">
        <v>2024</v>
      </c>
      <c r="D3" s="424"/>
      <c r="E3" s="425"/>
    </row>
    <row r="4" spans="1:5" s="38" customFormat="1" ht="75" customHeight="1" x14ac:dyDescent="0.25">
      <c r="A4" s="40" t="s">
        <v>2</v>
      </c>
      <c r="B4" s="41" t="s">
        <v>140</v>
      </c>
      <c r="C4" s="420" t="s">
        <v>263</v>
      </c>
      <c r="D4" s="421"/>
      <c r="E4" s="422"/>
    </row>
    <row r="5" spans="1:5" s="38" customFormat="1" ht="15.75" customHeight="1" x14ac:dyDescent="0.25">
      <c r="A5" s="40" t="s">
        <v>3</v>
      </c>
      <c r="B5" s="41" t="s">
        <v>4</v>
      </c>
      <c r="C5" s="345" t="s">
        <v>271</v>
      </c>
      <c r="D5" s="420"/>
      <c r="E5" s="346"/>
    </row>
    <row r="6" spans="1:5" s="38" customFormat="1" x14ac:dyDescent="0.25">
      <c r="A6" s="40" t="s">
        <v>5</v>
      </c>
      <c r="B6" s="41" t="s">
        <v>143</v>
      </c>
      <c r="C6" s="345">
        <v>12</v>
      </c>
      <c r="D6" s="420"/>
      <c r="E6" s="346"/>
    </row>
    <row r="7" spans="1:5" s="38" customFormat="1" x14ac:dyDescent="0.25">
      <c r="A7" s="349" t="s">
        <v>6</v>
      </c>
      <c r="B7" s="350"/>
      <c r="C7" s="350"/>
      <c r="D7" s="350"/>
      <c r="E7" s="351"/>
    </row>
    <row r="8" spans="1:5" s="38" customFormat="1" x14ac:dyDescent="0.25">
      <c r="A8" s="349" t="s">
        <v>7</v>
      </c>
      <c r="B8" s="350"/>
      <c r="C8" s="350"/>
      <c r="D8" s="350"/>
      <c r="E8" s="351"/>
    </row>
    <row r="9" spans="1:5" s="38" customFormat="1" ht="15.75" customHeight="1" x14ac:dyDescent="0.25">
      <c r="A9" s="349" t="s">
        <v>8</v>
      </c>
      <c r="B9" s="350"/>
      <c r="C9" s="350"/>
      <c r="D9" s="350"/>
      <c r="E9" s="351"/>
    </row>
    <row r="10" spans="1:5" s="38" customFormat="1" ht="30" customHeight="1" x14ac:dyDescent="0.25">
      <c r="A10" s="352" t="s">
        <v>9</v>
      </c>
      <c r="B10" s="353"/>
      <c r="C10" s="353"/>
      <c r="D10" s="409" t="s">
        <v>10</v>
      </c>
      <c r="E10" s="410"/>
    </row>
    <row r="11" spans="1:5" s="38" customFormat="1" ht="60" customHeight="1" x14ac:dyDescent="0.25">
      <c r="A11" s="40">
        <v>1</v>
      </c>
      <c r="B11" s="42" t="s">
        <v>133</v>
      </c>
      <c r="C11" s="414" t="s">
        <v>264</v>
      </c>
      <c r="D11" s="383"/>
      <c r="E11" s="415"/>
    </row>
    <row r="12" spans="1:5" s="38" customFormat="1" ht="30" customHeight="1" x14ac:dyDescent="0.25">
      <c r="A12" s="40">
        <v>2</v>
      </c>
      <c r="B12" s="42" t="s">
        <v>11</v>
      </c>
      <c r="C12" s="416">
        <v>3325</v>
      </c>
      <c r="D12" s="416"/>
      <c r="E12" s="417"/>
    </row>
    <row r="13" spans="1:5" s="38" customFormat="1" ht="15.75" customHeight="1" x14ac:dyDescent="0.25">
      <c r="A13" s="40">
        <v>3</v>
      </c>
      <c r="B13" s="42" t="s">
        <v>12</v>
      </c>
      <c r="C13" s="414" t="s">
        <v>235</v>
      </c>
      <c r="D13" s="383"/>
      <c r="E13" s="415"/>
    </row>
    <row r="14" spans="1:5" s="38" customFormat="1" x14ac:dyDescent="0.25">
      <c r="A14" s="40">
        <v>4</v>
      </c>
      <c r="B14" s="43" t="s">
        <v>13</v>
      </c>
      <c r="C14" s="426"/>
      <c r="D14" s="426"/>
      <c r="E14" s="427"/>
    </row>
    <row r="15" spans="1:5" s="39" customFormat="1" ht="31.5" x14ac:dyDescent="0.25">
      <c r="A15" s="376" t="s">
        <v>14</v>
      </c>
      <c r="B15" s="377"/>
      <c r="C15" s="377"/>
      <c r="D15" s="168" t="s">
        <v>266</v>
      </c>
      <c r="E15" s="182" t="s">
        <v>268</v>
      </c>
    </row>
    <row r="16" spans="1:5" s="39" customFormat="1" x14ac:dyDescent="0.25">
      <c r="A16" s="280">
        <v>1</v>
      </c>
      <c r="B16" s="356" t="s">
        <v>15</v>
      </c>
      <c r="C16" s="356"/>
      <c r="D16" s="57" t="s">
        <v>10</v>
      </c>
      <c r="E16" s="58" t="s">
        <v>10</v>
      </c>
    </row>
    <row r="17" spans="1:5" s="38" customFormat="1" ht="15.75" customHeight="1" x14ac:dyDescent="0.25">
      <c r="A17" s="44" t="s">
        <v>0</v>
      </c>
      <c r="B17" s="45" t="s">
        <v>16</v>
      </c>
      <c r="C17" s="43"/>
      <c r="D17" s="75">
        <f>C12</f>
        <v>3325</v>
      </c>
      <c r="E17" s="59">
        <f>C12</f>
        <v>3325</v>
      </c>
    </row>
    <row r="18" spans="1:5" s="38" customFormat="1" ht="15.75" customHeight="1" x14ac:dyDescent="0.25">
      <c r="A18" s="44" t="s">
        <v>2</v>
      </c>
      <c r="B18" s="45" t="s">
        <v>17</v>
      </c>
      <c r="C18" s="76"/>
      <c r="D18" s="77"/>
      <c r="E18" s="60"/>
    </row>
    <row r="19" spans="1:5" s="38" customFormat="1" ht="15.75" customHeight="1" x14ac:dyDescent="0.25">
      <c r="A19" s="44" t="s">
        <v>3</v>
      </c>
      <c r="B19" s="45" t="s">
        <v>18</v>
      </c>
      <c r="C19" s="109" t="s">
        <v>243</v>
      </c>
      <c r="D19" s="77">
        <f>40%*1412</f>
        <v>564.79999999999995</v>
      </c>
      <c r="E19" s="60">
        <f>40%*1412</f>
        <v>564.79999999999995</v>
      </c>
    </row>
    <row r="20" spans="1:5" s="38" customFormat="1" ht="15.75" customHeight="1" x14ac:dyDescent="0.25">
      <c r="A20" s="44" t="s">
        <v>5</v>
      </c>
      <c r="B20" s="45" t="s">
        <v>19</v>
      </c>
      <c r="C20" s="76"/>
      <c r="D20" s="77">
        <f>((((D17+D19)/220)*20%)*8)*15.21</f>
        <v>430.28</v>
      </c>
      <c r="E20" s="60">
        <f>((((E17+E19)/220)*20%)*8)*15.21</f>
        <v>430.28</v>
      </c>
    </row>
    <row r="21" spans="1:5" s="38" customFormat="1" ht="15.75" customHeight="1" x14ac:dyDescent="0.25">
      <c r="A21" s="44" t="s">
        <v>20</v>
      </c>
      <c r="B21" s="45" t="s">
        <v>204</v>
      </c>
      <c r="C21" s="76"/>
      <c r="D21" s="77"/>
      <c r="E21" s="60"/>
    </row>
    <row r="22" spans="1:5" s="38" customFormat="1" x14ac:dyDescent="0.25">
      <c r="A22" s="44" t="s">
        <v>21</v>
      </c>
      <c r="B22" s="45" t="s">
        <v>138</v>
      </c>
      <c r="C22" s="48"/>
      <c r="D22" s="77"/>
      <c r="E22" s="60"/>
    </row>
    <row r="23" spans="1:5" s="38" customFormat="1" ht="15.75" customHeight="1" x14ac:dyDescent="0.25">
      <c r="A23" s="44" t="s">
        <v>22</v>
      </c>
      <c r="B23" s="46" t="s">
        <v>139</v>
      </c>
      <c r="C23" s="48"/>
      <c r="D23" s="77"/>
      <c r="E23" s="60"/>
    </row>
    <row r="24" spans="1:5" s="39" customFormat="1" ht="15.75" customHeight="1" x14ac:dyDescent="0.25">
      <c r="A24" s="367" t="s">
        <v>152</v>
      </c>
      <c r="B24" s="368"/>
      <c r="C24" s="368"/>
      <c r="D24" s="66">
        <f>SUM(D17:D23)</f>
        <v>4320.08</v>
      </c>
      <c r="E24" s="61">
        <f>SUM(E17:E23)</f>
        <v>4320.08</v>
      </c>
    </row>
    <row r="25" spans="1:5" s="39" customFormat="1" x14ac:dyDescent="0.25">
      <c r="A25" s="376" t="s">
        <v>51</v>
      </c>
      <c r="B25" s="377"/>
      <c r="C25" s="377"/>
      <c r="D25" s="377"/>
      <c r="E25" s="411"/>
    </row>
    <row r="26" spans="1:5" s="38" customFormat="1" x14ac:dyDescent="0.25">
      <c r="A26" s="273" t="s">
        <v>141</v>
      </c>
      <c r="B26" s="354" t="s">
        <v>205</v>
      </c>
      <c r="C26" s="382"/>
      <c r="D26" s="69" t="s">
        <v>10</v>
      </c>
      <c r="E26" s="173" t="s">
        <v>10</v>
      </c>
    </row>
    <row r="27" spans="1:5" s="38" customFormat="1" x14ac:dyDescent="0.25">
      <c r="A27" s="49" t="s">
        <v>0</v>
      </c>
      <c r="B27" s="50" t="s">
        <v>28</v>
      </c>
      <c r="C27" s="55">
        <f>1/12</f>
        <v>8.3299999999999999E-2</v>
      </c>
      <c r="D27" s="78">
        <f>(D24)*C27</f>
        <v>359.86</v>
      </c>
      <c r="E27" s="62">
        <f>(E24)*C27</f>
        <v>359.86</v>
      </c>
    </row>
    <row r="28" spans="1:5" s="38" customFormat="1" x14ac:dyDescent="0.25">
      <c r="A28" s="49" t="s">
        <v>2</v>
      </c>
      <c r="B28" s="50" t="s">
        <v>148</v>
      </c>
      <c r="C28" s="55">
        <v>0.1111</v>
      </c>
      <c r="D28" s="78">
        <f>(D24)*C28</f>
        <v>479.96</v>
      </c>
      <c r="E28" s="62">
        <f>(E24)*C28</f>
        <v>479.96</v>
      </c>
    </row>
    <row r="29" spans="1:5" x14ac:dyDescent="0.25">
      <c r="A29" s="358" t="s">
        <v>27</v>
      </c>
      <c r="B29" s="359"/>
      <c r="C29" s="92">
        <f>SUM(C27:C28)</f>
        <v>0.19439999999999999</v>
      </c>
      <c r="D29" s="80">
        <f>SUM(D27:D28)</f>
        <v>839.82</v>
      </c>
      <c r="E29" s="63">
        <f>SUM(E27:E28)</f>
        <v>839.82</v>
      </c>
    </row>
    <row r="30" spans="1:5" ht="32.25" customHeight="1" x14ac:dyDescent="0.25">
      <c r="A30" s="362" t="s">
        <v>190</v>
      </c>
      <c r="B30" s="363"/>
      <c r="C30" s="363"/>
      <c r="D30" s="363"/>
      <c r="E30" s="364"/>
    </row>
    <row r="31" spans="1:5" x14ac:dyDescent="0.25">
      <c r="A31" s="270" t="s">
        <v>141</v>
      </c>
      <c r="B31" s="360" t="s">
        <v>25</v>
      </c>
      <c r="C31" s="361"/>
      <c r="D31" s="70" t="s">
        <v>10</v>
      </c>
      <c r="E31" s="171" t="s">
        <v>10</v>
      </c>
    </row>
    <row r="32" spans="1:5" x14ac:dyDescent="0.25">
      <c r="A32" s="49" t="s">
        <v>0</v>
      </c>
      <c r="B32" s="81" t="s">
        <v>207</v>
      </c>
      <c r="C32" s="55">
        <v>0.2</v>
      </c>
      <c r="D32" s="78">
        <f t="shared" ref="D32:D39" si="0">($E$24+D$29)*C32</f>
        <v>1031.98</v>
      </c>
      <c r="E32" s="62">
        <f t="shared" ref="E32:E39" si="1">($E$24+E$29)*C32</f>
        <v>1031.98</v>
      </c>
    </row>
    <row r="33" spans="1:5" x14ac:dyDescent="0.25">
      <c r="A33" s="49" t="s">
        <v>2</v>
      </c>
      <c r="B33" s="81" t="s">
        <v>208</v>
      </c>
      <c r="C33" s="82">
        <v>1.4999999999999999E-2</v>
      </c>
      <c r="D33" s="78">
        <f t="shared" si="0"/>
        <v>77.400000000000006</v>
      </c>
      <c r="E33" s="62">
        <f t="shared" si="1"/>
        <v>77.400000000000006</v>
      </c>
    </row>
    <row r="34" spans="1:5" x14ac:dyDescent="0.25">
      <c r="A34" s="49" t="s">
        <v>3</v>
      </c>
      <c r="B34" s="81" t="s">
        <v>209</v>
      </c>
      <c r="C34" s="82">
        <v>0.01</v>
      </c>
      <c r="D34" s="78">
        <f t="shared" si="0"/>
        <v>51.6</v>
      </c>
      <c r="E34" s="62">
        <f t="shared" si="1"/>
        <v>51.6</v>
      </c>
    </row>
    <row r="35" spans="1:5" ht="31.5" x14ac:dyDescent="0.25">
      <c r="A35" s="49" t="s">
        <v>5</v>
      </c>
      <c r="B35" s="269" t="s">
        <v>210</v>
      </c>
      <c r="C35" s="82">
        <v>2E-3</v>
      </c>
      <c r="D35" s="78">
        <f t="shared" si="0"/>
        <v>10.32</v>
      </c>
      <c r="E35" s="62">
        <f t="shared" si="1"/>
        <v>10.32</v>
      </c>
    </row>
    <row r="36" spans="1:5" x14ac:dyDescent="0.25">
      <c r="A36" s="49" t="s">
        <v>20</v>
      </c>
      <c r="B36" s="81" t="s">
        <v>211</v>
      </c>
      <c r="C36" s="82">
        <v>2.5000000000000001E-2</v>
      </c>
      <c r="D36" s="78">
        <f t="shared" si="0"/>
        <v>129</v>
      </c>
      <c r="E36" s="62">
        <f t="shared" si="1"/>
        <v>129</v>
      </c>
    </row>
    <row r="37" spans="1:5" x14ac:dyDescent="0.25">
      <c r="A37" s="49" t="s">
        <v>21</v>
      </c>
      <c r="B37" s="108" t="s">
        <v>212</v>
      </c>
      <c r="C37" s="82">
        <v>0.08</v>
      </c>
      <c r="D37" s="78">
        <f t="shared" si="0"/>
        <v>412.79</v>
      </c>
      <c r="E37" s="62">
        <f t="shared" si="1"/>
        <v>412.79</v>
      </c>
    </row>
    <row r="38" spans="1:5" ht="47.25" x14ac:dyDescent="0.25">
      <c r="A38" s="49" t="s">
        <v>22</v>
      </c>
      <c r="B38" s="269" t="s">
        <v>213</v>
      </c>
      <c r="C38" s="82">
        <v>0.03</v>
      </c>
      <c r="D38" s="78">
        <f t="shared" si="0"/>
        <v>154.80000000000001</v>
      </c>
      <c r="E38" s="62">
        <f t="shared" si="1"/>
        <v>154.80000000000001</v>
      </c>
    </row>
    <row r="39" spans="1:5" x14ac:dyDescent="0.25">
      <c r="A39" s="49" t="s">
        <v>26</v>
      </c>
      <c r="B39" s="107" t="s">
        <v>214</v>
      </c>
      <c r="C39" s="82">
        <v>6.0000000000000001E-3</v>
      </c>
      <c r="D39" s="78">
        <f t="shared" si="0"/>
        <v>30.96</v>
      </c>
      <c r="E39" s="62">
        <f t="shared" si="1"/>
        <v>30.96</v>
      </c>
    </row>
    <row r="40" spans="1:5" s="30" customFormat="1" x14ac:dyDescent="0.25">
      <c r="A40" s="358" t="s">
        <v>27</v>
      </c>
      <c r="B40" s="359"/>
      <c r="C40" s="56">
        <f>SUM(C32:C39)</f>
        <v>0.36799999999999999</v>
      </c>
      <c r="D40" s="80">
        <f>SUM(D32:D39)</f>
        <v>1898.85</v>
      </c>
      <c r="E40" s="63">
        <f>SUM(E32:E39)</f>
        <v>1898.85</v>
      </c>
    </row>
    <row r="41" spans="1:5" s="30" customFormat="1" x14ac:dyDescent="0.25">
      <c r="A41" s="370" t="s">
        <v>173</v>
      </c>
      <c r="B41" s="371"/>
      <c r="C41" s="371"/>
      <c r="D41" s="371"/>
      <c r="E41" s="412"/>
    </row>
    <row r="42" spans="1:5" s="30" customFormat="1" x14ac:dyDescent="0.25">
      <c r="A42" s="74" t="s">
        <v>216</v>
      </c>
      <c r="B42" s="172" t="s">
        <v>217</v>
      </c>
      <c r="C42" s="105"/>
      <c r="D42" s="105"/>
      <c r="E42" s="191"/>
    </row>
    <row r="43" spans="1:5" s="30" customFormat="1" x14ac:dyDescent="0.25">
      <c r="A43" s="91" t="s">
        <v>0</v>
      </c>
      <c r="B43" s="53" t="s">
        <v>144</v>
      </c>
      <c r="C43" s="106"/>
      <c r="D43" s="102">
        <v>0</v>
      </c>
      <c r="E43" s="206">
        <v>0</v>
      </c>
    </row>
    <row r="44" spans="1:5" s="30" customFormat="1" x14ac:dyDescent="0.25">
      <c r="A44" s="47" t="s">
        <v>2</v>
      </c>
      <c r="B44" s="46" t="s">
        <v>191</v>
      </c>
      <c r="C44" s="73"/>
      <c r="D44" s="75">
        <v>0</v>
      </c>
      <c r="E44" s="59">
        <v>0</v>
      </c>
    </row>
    <row r="45" spans="1:5" s="30" customFormat="1" x14ac:dyDescent="0.25">
      <c r="A45" s="49" t="s">
        <v>3</v>
      </c>
      <c r="B45" s="50" t="s">
        <v>134</v>
      </c>
      <c r="C45" s="67"/>
      <c r="D45" s="85">
        <v>0</v>
      </c>
      <c r="E45" s="64">
        <v>0</v>
      </c>
    </row>
    <row r="46" spans="1:5" s="30" customFormat="1" x14ac:dyDescent="0.25">
      <c r="A46" s="49" t="s">
        <v>5</v>
      </c>
      <c r="B46" s="50" t="s">
        <v>135</v>
      </c>
      <c r="C46" s="55"/>
      <c r="D46" s="85">
        <f>(D17*C46*0.0199*2)/12</f>
        <v>0</v>
      </c>
      <c r="E46" s="64">
        <f>(E17*C46*0.0199*2)/12</f>
        <v>0</v>
      </c>
    </row>
    <row r="47" spans="1:5" s="30" customFormat="1" x14ac:dyDescent="0.25">
      <c r="A47" s="49" t="s">
        <v>20</v>
      </c>
      <c r="B47" s="50" t="s">
        <v>136</v>
      </c>
      <c r="C47" s="67"/>
      <c r="D47" s="78">
        <v>0</v>
      </c>
      <c r="E47" s="62">
        <v>0</v>
      </c>
    </row>
    <row r="48" spans="1:5" s="30" customFormat="1" ht="15.75" customHeight="1" x14ac:dyDescent="0.25">
      <c r="A48" s="358" t="s">
        <v>23</v>
      </c>
      <c r="B48" s="359"/>
      <c r="C48" s="359"/>
      <c r="D48" s="80">
        <f>SUM(D43:D47)</f>
        <v>0</v>
      </c>
      <c r="E48" s="63">
        <f>SUM(E43:E47)</f>
        <v>0</v>
      </c>
    </row>
    <row r="49" spans="1:5" s="30" customFormat="1" ht="15.75" customHeight="1" x14ac:dyDescent="0.25">
      <c r="A49" s="370" t="s">
        <v>224</v>
      </c>
      <c r="B49" s="371"/>
      <c r="C49" s="371"/>
      <c r="D49" s="371"/>
      <c r="E49" s="412"/>
    </row>
    <row r="50" spans="1:5" s="30" customFormat="1" ht="15.75" customHeight="1" x14ac:dyDescent="0.25">
      <c r="A50" s="280" t="s">
        <v>141</v>
      </c>
      <c r="B50" s="103" t="s">
        <v>145</v>
      </c>
      <c r="C50" s="277"/>
      <c r="D50" s="65">
        <f>D29</f>
        <v>839.82</v>
      </c>
      <c r="E50" s="194">
        <f>E29</f>
        <v>839.82</v>
      </c>
    </row>
    <row r="51" spans="1:5" s="30" customFormat="1" ht="15.75" customHeight="1" x14ac:dyDescent="0.25">
      <c r="A51" s="280" t="s">
        <v>215</v>
      </c>
      <c r="B51" s="103" t="s">
        <v>146</v>
      </c>
      <c r="C51" s="277"/>
      <c r="D51" s="65">
        <f>D40</f>
        <v>1898.85</v>
      </c>
      <c r="E51" s="194">
        <f>E40</f>
        <v>1898.85</v>
      </c>
    </row>
    <row r="52" spans="1:5" s="30" customFormat="1" ht="15.75" customHeight="1" x14ac:dyDescent="0.25">
      <c r="A52" s="280" t="s">
        <v>216</v>
      </c>
      <c r="B52" s="103" t="s">
        <v>147</v>
      </c>
      <c r="C52" s="277"/>
      <c r="D52" s="65">
        <f>D48</f>
        <v>0</v>
      </c>
      <c r="E52" s="194">
        <f>E48</f>
        <v>0</v>
      </c>
    </row>
    <row r="53" spans="1:5" s="30" customFormat="1" ht="15.75" customHeight="1" x14ac:dyDescent="0.25">
      <c r="A53" s="367" t="s">
        <v>153</v>
      </c>
      <c r="B53" s="368"/>
      <c r="C53" s="368"/>
      <c r="D53" s="66">
        <f>SUM(D50:D52)</f>
        <v>2738.67</v>
      </c>
      <c r="E53" s="61">
        <f>SUM(E50:E52)</f>
        <v>2738.67</v>
      </c>
    </row>
    <row r="54" spans="1:5" s="30" customFormat="1" ht="15.75" customHeight="1" x14ac:dyDescent="0.25">
      <c r="A54" s="376" t="s">
        <v>162</v>
      </c>
      <c r="B54" s="377"/>
      <c r="C54" s="377"/>
      <c r="D54" s="377"/>
      <c r="E54" s="411"/>
    </row>
    <row r="55" spans="1:5" s="30" customFormat="1" ht="15.75" customHeight="1" x14ac:dyDescent="0.25">
      <c r="A55" s="273" t="s">
        <v>200</v>
      </c>
      <c r="B55" s="354" t="s">
        <v>32</v>
      </c>
      <c r="C55" s="355"/>
      <c r="D55" s="69" t="s">
        <v>10</v>
      </c>
      <c r="E55" s="173" t="s">
        <v>10</v>
      </c>
    </row>
    <row r="56" spans="1:5" s="30" customFormat="1" ht="15.75" customHeight="1" x14ac:dyDescent="0.25">
      <c r="A56" s="49" t="s">
        <v>0</v>
      </c>
      <c r="B56" s="50" t="s">
        <v>33</v>
      </c>
      <c r="C56" s="55">
        <v>4.5999999999999999E-3</v>
      </c>
      <c r="D56" s="78">
        <f>D$24*C56</f>
        <v>19.87</v>
      </c>
      <c r="E56" s="62">
        <f>E$24*C56</f>
        <v>19.87</v>
      </c>
    </row>
    <row r="57" spans="1:5" s="30" customFormat="1" ht="15.75" customHeight="1" x14ac:dyDescent="0.25">
      <c r="A57" s="49" t="s">
        <v>2</v>
      </c>
      <c r="B57" s="50" t="s">
        <v>34</v>
      </c>
      <c r="C57" s="55">
        <v>4.0000000000000002E-4</v>
      </c>
      <c r="D57" s="78">
        <f>D$24*C57</f>
        <v>1.73</v>
      </c>
      <c r="E57" s="62">
        <f>E$24*C57</f>
        <v>1.73</v>
      </c>
    </row>
    <row r="58" spans="1:5" s="30" customFormat="1" ht="15.75" customHeight="1" x14ac:dyDescent="0.25">
      <c r="A58" s="49" t="s">
        <v>3</v>
      </c>
      <c r="B58" s="52" t="s">
        <v>35</v>
      </c>
      <c r="C58" s="55">
        <v>1.9400000000000001E-2</v>
      </c>
      <c r="D58" s="78">
        <f>D$24*C58</f>
        <v>83.81</v>
      </c>
      <c r="E58" s="62">
        <f>E$24*C58</f>
        <v>83.81</v>
      </c>
    </row>
    <row r="59" spans="1:5" s="30" customFormat="1" ht="30.75" customHeight="1" x14ac:dyDescent="0.25">
      <c r="A59" s="49" t="s">
        <v>5</v>
      </c>
      <c r="B59" s="50" t="s">
        <v>174</v>
      </c>
      <c r="C59" s="55">
        <v>7.1000000000000004E-3</v>
      </c>
      <c r="D59" s="78">
        <f>D$24*C59</f>
        <v>30.67</v>
      </c>
      <c r="E59" s="62">
        <f>E$24*C59</f>
        <v>30.67</v>
      </c>
    </row>
    <row r="60" spans="1:5" s="30" customFormat="1" ht="15.75" customHeight="1" x14ac:dyDescent="0.25">
      <c r="A60" s="49" t="s">
        <v>20</v>
      </c>
      <c r="B60" s="50" t="s">
        <v>149</v>
      </c>
      <c r="C60" s="55">
        <v>0.04</v>
      </c>
      <c r="D60" s="78">
        <f>D$24*C60</f>
        <v>172.8</v>
      </c>
      <c r="E60" s="62">
        <f>E$24*C60</f>
        <v>172.8</v>
      </c>
    </row>
    <row r="61" spans="1:5" s="30" customFormat="1" x14ac:dyDescent="0.25">
      <c r="A61" s="367" t="s">
        <v>154</v>
      </c>
      <c r="B61" s="368"/>
      <c r="C61" s="368"/>
      <c r="D61" s="66">
        <f>SUM(D56:D60)</f>
        <v>308.88</v>
      </c>
      <c r="E61" s="61">
        <f>SUM(E56:E60)</f>
        <v>308.88</v>
      </c>
    </row>
    <row r="62" spans="1:5" s="30" customFormat="1" x14ac:dyDescent="0.25">
      <c r="A62" s="376" t="s">
        <v>163</v>
      </c>
      <c r="B62" s="377"/>
      <c r="C62" s="377"/>
      <c r="D62" s="377"/>
      <c r="E62" s="411"/>
    </row>
    <row r="63" spans="1:5" s="30" customFormat="1" x14ac:dyDescent="0.25">
      <c r="A63" s="273" t="s">
        <v>199</v>
      </c>
      <c r="B63" s="369" t="s">
        <v>198</v>
      </c>
      <c r="C63" s="369"/>
      <c r="D63" s="69" t="s">
        <v>10</v>
      </c>
      <c r="E63" s="173" t="s">
        <v>10</v>
      </c>
    </row>
    <row r="64" spans="1:5" s="30" customFormat="1" x14ac:dyDescent="0.25">
      <c r="A64" s="49" t="s">
        <v>0</v>
      </c>
      <c r="B64" s="50" t="s">
        <v>192</v>
      </c>
      <c r="C64" s="55">
        <v>9.2999999999999992E-3</v>
      </c>
      <c r="D64" s="78">
        <f t="shared" ref="D64:D69" si="2">(D$24+D$53+D$61+D$84)*C64</f>
        <v>68.86</v>
      </c>
      <c r="E64" s="62">
        <f t="shared" ref="E64:E69" si="3">(E$24+E$53+E$61+E$84)*C64</f>
        <v>68.86</v>
      </c>
    </row>
    <row r="65" spans="1:5" s="30" customFormat="1" x14ac:dyDescent="0.25">
      <c r="A65" s="49" t="s">
        <v>2</v>
      </c>
      <c r="B65" s="50" t="s">
        <v>193</v>
      </c>
      <c r="C65" s="55">
        <v>1.66E-2</v>
      </c>
      <c r="D65" s="78">
        <f t="shared" si="2"/>
        <v>122.91</v>
      </c>
      <c r="E65" s="62">
        <f t="shared" si="3"/>
        <v>122.91</v>
      </c>
    </row>
    <row r="66" spans="1:5" s="30" customFormat="1" x14ac:dyDescent="0.25">
      <c r="A66" s="49" t="s">
        <v>3</v>
      </c>
      <c r="B66" s="50" t="s">
        <v>194</v>
      </c>
      <c r="C66" s="55">
        <v>2.0000000000000001E-4</v>
      </c>
      <c r="D66" s="78">
        <f t="shared" si="2"/>
        <v>1.48</v>
      </c>
      <c r="E66" s="62">
        <f t="shared" si="3"/>
        <v>1.48</v>
      </c>
    </row>
    <row r="67" spans="1:5" s="30" customFormat="1" x14ac:dyDescent="0.25">
      <c r="A67" s="49" t="s">
        <v>5</v>
      </c>
      <c r="B67" s="50" t="s">
        <v>195</v>
      </c>
      <c r="C67" s="55">
        <v>2.7000000000000001E-3</v>
      </c>
      <c r="D67" s="78">
        <f t="shared" si="2"/>
        <v>19.989999999999998</v>
      </c>
      <c r="E67" s="62">
        <f t="shared" si="3"/>
        <v>19.989999999999998</v>
      </c>
    </row>
    <row r="68" spans="1:5" s="30" customFormat="1" x14ac:dyDescent="0.25">
      <c r="A68" s="49" t="s">
        <v>20</v>
      </c>
      <c r="B68" s="50" t="s">
        <v>196</v>
      </c>
      <c r="C68" s="55">
        <v>2.9999999999999997E-4</v>
      </c>
      <c r="D68" s="78">
        <f t="shared" si="2"/>
        <v>2.2200000000000002</v>
      </c>
      <c r="E68" s="62">
        <f t="shared" si="3"/>
        <v>2.2200000000000002</v>
      </c>
    </row>
    <row r="69" spans="1:5" s="30" customFormat="1" ht="15.75" customHeight="1" x14ac:dyDescent="0.25">
      <c r="A69" s="49" t="s">
        <v>21</v>
      </c>
      <c r="B69" s="276" t="s">
        <v>197</v>
      </c>
      <c r="C69" s="55">
        <v>0</v>
      </c>
      <c r="D69" s="78">
        <f t="shared" si="2"/>
        <v>0</v>
      </c>
      <c r="E69" s="62">
        <f t="shared" si="3"/>
        <v>0</v>
      </c>
    </row>
    <row r="70" spans="1:5" s="30" customFormat="1" x14ac:dyDescent="0.25">
      <c r="A70" s="358" t="s">
        <v>29</v>
      </c>
      <c r="B70" s="359"/>
      <c r="C70" s="56">
        <f>SUM(C64:C69)</f>
        <v>2.9100000000000001E-2</v>
      </c>
      <c r="D70" s="80">
        <f>SUM(D64:D69)</f>
        <v>215.46</v>
      </c>
      <c r="E70" s="63">
        <f>SUM(E64:E69)</f>
        <v>215.46</v>
      </c>
    </row>
    <row r="71" spans="1:5" s="30" customFormat="1" x14ac:dyDescent="0.25">
      <c r="A71" s="280"/>
      <c r="B71" s="277"/>
      <c r="C71" s="72"/>
      <c r="D71" s="72"/>
      <c r="E71" s="59"/>
    </row>
    <row r="72" spans="1:5" s="30" customFormat="1" x14ac:dyDescent="0.25">
      <c r="A72" s="280"/>
      <c r="B72" s="356" t="s">
        <v>201</v>
      </c>
      <c r="C72" s="357"/>
      <c r="D72" s="69" t="s">
        <v>10</v>
      </c>
      <c r="E72" s="173" t="s">
        <v>10</v>
      </c>
    </row>
    <row r="73" spans="1:5" s="30" customFormat="1" x14ac:dyDescent="0.25">
      <c r="A73" s="49" t="s">
        <v>0</v>
      </c>
      <c r="B73" s="50" t="s">
        <v>202</v>
      </c>
      <c r="C73" s="55">
        <v>0</v>
      </c>
      <c r="D73" s="78">
        <f>(D$24+D$53+D$61)*C73</f>
        <v>0</v>
      </c>
      <c r="E73" s="62">
        <f>(E$24+E$53+E$61)*C73</f>
        <v>0</v>
      </c>
    </row>
    <row r="74" spans="1:5" s="30" customFormat="1" ht="15.75" customHeight="1" x14ac:dyDescent="0.25">
      <c r="A74" s="358" t="s">
        <v>27</v>
      </c>
      <c r="B74" s="359"/>
      <c r="C74" s="94">
        <f>C73</f>
        <v>0</v>
      </c>
      <c r="D74" s="80">
        <f>D73</f>
        <v>0</v>
      </c>
      <c r="E74" s="63">
        <f>E73</f>
        <v>0</v>
      </c>
    </row>
    <row r="75" spans="1:5" s="30" customFormat="1" ht="15.75" customHeight="1" x14ac:dyDescent="0.25">
      <c r="A75" s="370" t="s">
        <v>30</v>
      </c>
      <c r="B75" s="371"/>
      <c r="C75" s="371"/>
      <c r="D75" s="371"/>
      <c r="E75" s="412"/>
    </row>
    <row r="76" spans="1:5" s="30" customFormat="1" ht="15.75" customHeight="1" x14ac:dyDescent="0.25">
      <c r="A76" s="405" t="s">
        <v>203</v>
      </c>
      <c r="B76" s="406"/>
      <c r="C76" s="406"/>
      <c r="D76" s="406"/>
      <c r="E76" s="413"/>
    </row>
    <row r="77" spans="1:5" s="30" customFormat="1" ht="15.75" customHeight="1" x14ac:dyDescent="0.25">
      <c r="A77" s="273">
        <v>4</v>
      </c>
      <c r="B77" s="354" t="s">
        <v>31</v>
      </c>
      <c r="C77" s="355"/>
      <c r="D77" s="69" t="s">
        <v>10</v>
      </c>
      <c r="E77" s="173" t="s">
        <v>10</v>
      </c>
    </row>
    <row r="78" spans="1:5" s="30" customFormat="1" ht="15.75" customHeight="1" x14ac:dyDescent="0.25">
      <c r="A78" s="49" t="s">
        <v>199</v>
      </c>
      <c r="B78" s="276" t="s">
        <v>198</v>
      </c>
      <c r="C78" s="55">
        <f>C70</f>
        <v>2.9100000000000001E-2</v>
      </c>
      <c r="D78" s="78">
        <f>D70</f>
        <v>215.46</v>
      </c>
      <c r="E78" s="62">
        <f>E70</f>
        <v>215.46</v>
      </c>
    </row>
    <row r="79" spans="1:5" s="30" customFormat="1" ht="15.75" customHeight="1" x14ac:dyDescent="0.25">
      <c r="A79" s="49" t="s">
        <v>221</v>
      </c>
      <c r="B79" s="276" t="s">
        <v>201</v>
      </c>
      <c r="C79" s="55">
        <v>0</v>
      </c>
      <c r="D79" s="78">
        <f>(D$24+D$53+D$61)*C79</f>
        <v>0</v>
      </c>
      <c r="E79" s="62">
        <f>(E$24+E$53+E$61)*C79</f>
        <v>0</v>
      </c>
    </row>
    <row r="80" spans="1:5" s="30" customFormat="1" ht="15.75" customHeight="1" x14ac:dyDescent="0.25">
      <c r="A80" s="358" t="s">
        <v>27</v>
      </c>
      <c r="B80" s="359"/>
      <c r="C80" s="92">
        <f>SUM(C78:C79)</f>
        <v>2.9100000000000001E-2</v>
      </c>
      <c r="D80" s="80">
        <f>SUM(D78:D79)</f>
        <v>215.46</v>
      </c>
      <c r="E80" s="63">
        <f>SUM(E78:E79)</f>
        <v>215.46</v>
      </c>
    </row>
    <row r="81" spans="1:5" s="30" customFormat="1" ht="15.75" customHeight="1" x14ac:dyDescent="0.25">
      <c r="A81" s="367" t="s">
        <v>155</v>
      </c>
      <c r="B81" s="368"/>
      <c r="C81" s="368"/>
      <c r="D81" s="66">
        <f>SUM(D74+D80)</f>
        <v>215.46</v>
      </c>
      <c r="E81" s="61">
        <f>SUM(E74+E80)</f>
        <v>215.46</v>
      </c>
    </row>
    <row r="82" spans="1:5" s="30" customFormat="1" ht="15.75" customHeight="1" x14ac:dyDescent="0.25">
      <c r="A82" s="376" t="s">
        <v>164</v>
      </c>
      <c r="B82" s="377"/>
      <c r="C82" s="377"/>
      <c r="D82" s="377"/>
      <c r="E82" s="411"/>
    </row>
    <row r="83" spans="1:5" s="30" customFormat="1" ht="15.75" customHeight="1" x14ac:dyDescent="0.25">
      <c r="A83" s="273">
        <v>5</v>
      </c>
      <c r="B83" s="354" t="s">
        <v>24</v>
      </c>
      <c r="C83" s="355"/>
      <c r="D83" s="69" t="s">
        <v>10</v>
      </c>
      <c r="E83" s="173" t="s">
        <v>10</v>
      </c>
    </row>
    <row r="84" spans="1:5" s="30" customFormat="1" ht="15.75" customHeight="1" x14ac:dyDescent="0.25">
      <c r="A84" s="47" t="s">
        <v>0</v>
      </c>
      <c r="B84" s="401" t="s">
        <v>222</v>
      </c>
      <c r="C84" s="401"/>
      <c r="D84" s="78">
        <f>Uniformes!H7</f>
        <v>36.619999999999997</v>
      </c>
      <c r="E84" s="62">
        <f>Uniformes!H7</f>
        <v>36.619999999999997</v>
      </c>
    </row>
    <row r="85" spans="1:5" s="30" customFormat="1" ht="15.75" customHeight="1" x14ac:dyDescent="0.25">
      <c r="A85" s="47" t="s">
        <v>2</v>
      </c>
      <c r="B85" s="401" t="s">
        <v>223</v>
      </c>
      <c r="C85" s="401"/>
      <c r="D85" s="78">
        <f>Materiais!H18</f>
        <v>64.819999999999993</v>
      </c>
      <c r="E85" s="62">
        <f>Materiais!H19</f>
        <v>64.819999999999993</v>
      </c>
    </row>
    <row r="86" spans="1:5" s="30" customFormat="1" ht="15.75" customHeight="1" x14ac:dyDescent="0.25">
      <c r="A86" s="47" t="s">
        <v>3</v>
      </c>
      <c r="B86" s="401" t="s">
        <v>187</v>
      </c>
      <c r="C86" s="401"/>
      <c r="D86" s="78">
        <f>Equipamentos!H19</f>
        <v>1312.5</v>
      </c>
      <c r="E86" s="62">
        <f>Equipamentos!H20</f>
        <v>1312.5</v>
      </c>
    </row>
    <row r="87" spans="1:5" s="30" customFormat="1" ht="15.75" customHeight="1" x14ac:dyDescent="0.25">
      <c r="A87" s="47" t="s">
        <v>5</v>
      </c>
      <c r="B87" s="401" t="s">
        <v>137</v>
      </c>
      <c r="C87" s="401"/>
      <c r="D87" s="78">
        <v>0</v>
      </c>
      <c r="E87" s="62">
        <v>0</v>
      </c>
    </row>
    <row r="88" spans="1:5" s="30" customFormat="1" ht="15.75" customHeight="1" x14ac:dyDescent="0.25">
      <c r="A88" s="367" t="s">
        <v>156</v>
      </c>
      <c r="B88" s="368"/>
      <c r="C88" s="368"/>
      <c r="D88" s="66">
        <f>SUM(D84:D87)</f>
        <v>1413.94</v>
      </c>
      <c r="E88" s="61">
        <f>SUM(E84:E87)</f>
        <v>1413.94</v>
      </c>
    </row>
    <row r="89" spans="1:5" s="30" customFormat="1" ht="30" customHeight="1" x14ac:dyDescent="0.25">
      <c r="A89" s="365" t="s">
        <v>225</v>
      </c>
      <c r="B89" s="366"/>
      <c r="C89" s="366"/>
      <c r="D89" s="161">
        <f>D88+D81+D61+D53+D24</f>
        <v>8997.0300000000007</v>
      </c>
      <c r="E89" s="207">
        <f>E88+E81+E61+E53+E24</f>
        <v>8997.0300000000007</v>
      </c>
    </row>
    <row r="90" spans="1:5" s="30" customFormat="1" ht="19.5" customHeight="1" x14ac:dyDescent="0.25">
      <c r="A90" s="376" t="s">
        <v>165</v>
      </c>
      <c r="B90" s="377"/>
      <c r="C90" s="377"/>
      <c r="D90" s="377"/>
      <c r="E90" s="411"/>
    </row>
    <row r="91" spans="1:5" s="30" customFormat="1" x14ac:dyDescent="0.25">
      <c r="A91" s="273">
        <v>6</v>
      </c>
      <c r="B91" s="354" t="s">
        <v>38</v>
      </c>
      <c r="C91" s="382"/>
      <c r="D91" s="69" t="s">
        <v>10</v>
      </c>
      <c r="E91" s="173" t="s">
        <v>10</v>
      </c>
    </row>
    <row r="92" spans="1:5" s="30" customFormat="1" x14ac:dyDescent="0.25">
      <c r="A92" s="273" t="s">
        <v>0</v>
      </c>
      <c r="B92" s="50" t="s">
        <v>39</v>
      </c>
      <c r="C92" s="55">
        <v>0.03</v>
      </c>
      <c r="D92" s="78">
        <f>+D89*C92</f>
        <v>269.91000000000003</v>
      </c>
      <c r="E92" s="62">
        <f>+E89*C92</f>
        <v>269.91000000000003</v>
      </c>
    </row>
    <row r="93" spans="1:5" s="30" customFormat="1" x14ac:dyDescent="0.25">
      <c r="A93" s="273" t="s">
        <v>2</v>
      </c>
      <c r="B93" s="50" t="s">
        <v>40</v>
      </c>
      <c r="C93" s="55">
        <v>6.7900000000000002E-2</v>
      </c>
      <c r="D93" s="78">
        <f>C93*(+D89+D92)</f>
        <v>629.23</v>
      </c>
      <c r="E93" s="62">
        <f>C93*(+E89+E92)</f>
        <v>629.23</v>
      </c>
    </row>
    <row r="94" spans="1:5" s="30" customFormat="1" ht="31.5" x14ac:dyDescent="0.25">
      <c r="A94" s="396" t="s">
        <v>3</v>
      </c>
      <c r="B94" s="50" t="s">
        <v>50</v>
      </c>
      <c r="C94" s="55">
        <f>1-C102</f>
        <v>0.85750000000000004</v>
      </c>
      <c r="D94" s="78">
        <f>+D89+D92+D93</f>
        <v>9896.17</v>
      </c>
      <c r="E94" s="62">
        <f>+E89+E92+E93</f>
        <v>9896.17</v>
      </c>
    </row>
    <row r="95" spans="1:5" s="30" customFormat="1" x14ac:dyDescent="0.25">
      <c r="A95" s="396"/>
      <c r="B95" s="276" t="s">
        <v>41</v>
      </c>
      <c r="C95" s="89"/>
      <c r="D95" s="162">
        <f>+D94/C94</f>
        <v>11540.72</v>
      </c>
      <c r="E95" s="208">
        <f>+E94/C94</f>
        <v>11540.72</v>
      </c>
    </row>
    <row r="96" spans="1:5" s="30" customFormat="1" x14ac:dyDescent="0.25">
      <c r="A96" s="396"/>
      <c r="B96" s="276" t="s">
        <v>42</v>
      </c>
      <c r="C96" s="68"/>
      <c r="D96" s="78"/>
      <c r="E96" s="62"/>
    </row>
    <row r="97" spans="1:5" s="30" customFormat="1" x14ac:dyDescent="0.25">
      <c r="A97" s="396"/>
      <c r="B97" s="50" t="s">
        <v>130</v>
      </c>
      <c r="C97" s="55">
        <v>1.6500000000000001E-2</v>
      </c>
      <c r="D97" s="78">
        <f>+D95*C97</f>
        <v>190.42</v>
      </c>
      <c r="E97" s="62">
        <f>+E95*C97</f>
        <v>190.42</v>
      </c>
    </row>
    <row r="98" spans="1:5" s="30" customFormat="1" x14ac:dyDescent="0.25">
      <c r="A98" s="396"/>
      <c r="B98" s="50" t="s">
        <v>131</v>
      </c>
      <c r="C98" s="55">
        <v>7.5999999999999998E-2</v>
      </c>
      <c r="D98" s="78">
        <f>+D95*C98</f>
        <v>877.09</v>
      </c>
      <c r="E98" s="62">
        <f>+E95*C98</f>
        <v>877.09</v>
      </c>
    </row>
    <row r="99" spans="1:5" s="30" customFormat="1" x14ac:dyDescent="0.25">
      <c r="A99" s="396"/>
      <c r="B99" s="51" t="s">
        <v>43</v>
      </c>
      <c r="C99" s="89"/>
      <c r="D99" s="78"/>
      <c r="E99" s="62"/>
    </row>
    <row r="100" spans="1:5" s="30" customFormat="1" x14ac:dyDescent="0.25">
      <c r="A100" s="396"/>
      <c r="B100" s="51" t="s">
        <v>44</v>
      </c>
      <c r="C100" s="95"/>
      <c r="D100" s="78"/>
      <c r="E100" s="62"/>
    </row>
    <row r="101" spans="1:5" s="30" customFormat="1" x14ac:dyDescent="0.25">
      <c r="A101" s="396"/>
      <c r="B101" s="50" t="s">
        <v>142</v>
      </c>
      <c r="C101" s="55">
        <v>0.05</v>
      </c>
      <c r="D101" s="78">
        <f>+D95*C101</f>
        <v>577.04</v>
      </c>
      <c r="E101" s="62">
        <f>+E95*C101</f>
        <v>577.04</v>
      </c>
    </row>
    <row r="102" spans="1:5" s="30" customFormat="1" x14ac:dyDescent="0.25">
      <c r="A102" s="273"/>
      <c r="B102" s="99" t="s">
        <v>45</v>
      </c>
      <c r="C102" s="100">
        <f>SUM(C97:C101)</f>
        <v>0.14249999999999999</v>
      </c>
      <c r="D102" s="78">
        <f>SUM(D97:D101)</f>
        <v>1644.55</v>
      </c>
      <c r="E102" s="62">
        <f>SUM(E97:E101)</f>
        <v>1644.55</v>
      </c>
    </row>
    <row r="103" spans="1:5" s="30" customFormat="1" ht="15.75" customHeight="1" x14ac:dyDescent="0.25">
      <c r="A103" s="358" t="s">
        <v>46</v>
      </c>
      <c r="B103" s="359"/>
      <c r="C103" s="359"/>
      <c r="D103" s="80">
        <f>+D92+D93+D102</f>
        <v>2543.69</v>
      </c>
      <c r="E103" s="63">
        <f>+E92+E93+E102</f>
        <v>2543.69</v>
      </c>
    </row>
    <row r="104" spans="1:5" s="30" customFormat="1" ht="15.75" customHeight="1" x14ac:dyDescent="0.25">
      <c r="A104" s="407" t="s">
        <v>47</v>
      </c>
      <c r="B104" s="408"/>
      <c r="C104" s="408"/>
      <c r="D104" s="163" t="s">
        <v>10</v>
      </c>
      <c r="E104" s="209" t="s">
        <v>10</v>
      </c>
    </row>
    <row r="105" spans="1:5" s="30" customFormat="1" x14ac:dyDescent="0.25">
      <c r="A105" s="49" t="s">
        <v>0</v>
      </c>
      <c r="B105" s="399" t="s">
        <v>48</v>
      </c>
      <c r="C105" s="399"/>
      <c r="D105" s="78">
        <f>+D24</f>
        <v>4320.08</v>
      </c>
      <c r="E105" s="62">
        <f>+E24</f>
        <v>4320.08</v>
      </c>
    </row>
    <row r="106" spans="1:5" s="30" customFormat="1" x14ac:dyDescent="0.25">
      <c r="A106" s="49" t="s">
        <v>2</v>
      </c>
      <c r="B106" s="399" t="s">
        <v>159</v>
      </c>
      <c r="C106" s="399"/>
      <c r="D106" s="78">
        <f>+D53</f>
        <v>2738.67</v>
      </c>
      <c r="E106" s="62">
        <f>+E53</f>
        <v>2738.67</v>
      </c>
    </row>
    <row r="107" spans="1:5" s="30" customFormat="1" x14ac:dyDescent="0.25">
      <c r="A107" s="49" t="s">
        <v>3</v>
      </c>
      <c r="B107" s="399" t="s">
        <v>157</v>
      </c>
      <c r="C107" s="399"/>
      <c r="D107" s="78">
        <f>D61</f>
        <v>308.88</v>
      </c>
      <c r="E107" s="62">
        <f>E61</f>
        <v>308.88</v>
      </c>
    </row>
    <row r="108" spans="1:5" s="30" customFormat="1" x14ac:dyDescent="0.25">
      <c r="A108" s="49" t="s">
        <v>5</v>
      </c>
      <c r="B108" s="399" t="s">
        <v>150</v>
      </c>
      <c r="C108" s="399"/>
      <c r="D108" s="78">
        <f>D81</f>
        <v>215.46</v>
      </c>
      <c r="E108" s="62">
        <f>E81</f>
        <v>215.46</v>
      </c>
    </row>
    <row r="109" spans="1:5" s="30" customFormat="1" x14ac:dyDescent="0.25">
      <c r="A109" s="49" t="s">
        <v>20</v>
      </c>
      <c r="B109" s="399" t="s">
        <v>158</v>
      </c>
      <c r="C109" s="399"/>
      <c r="D109" s="78">
        <f>D88</f>
        <v>1413.94</v>
      </c>
      <c r="E109" s="62">
        <f>E88</f>
        <v>1413.94</v>
      </c>
    </row>
    <row r="110" spans="1:5" s="30" customFormat="1" ht="15.75" customHeight="1" x14ac:dyDescent="0.25">
      <c r="A110" s="396" t="s">
        <v>160</v>
      </c>
      <c r="B110" s="400"/>
      <c r="C110" s="400"/>
      <c r="D110" s="101">
        <f>SUM(D105:D109)</f>
        <v>8997.0300000000007</v>
      </c>
      <c r="E110" s="197">
        <f>SUM(E105:E109)</f>
        <v>8997.0300000000007</v>
      </c>
    </row>
    <row r="111" spans="1:5" s="30" customFormat="1" x14ac:dyDescent="0.25">
      <c r="A111" s="273" t="s">
        <v>20</v>
      </c>
      <c r="B111" s="399" t="s">
        <v>161</v>
      </c>
      <c r="C111" s="399"/>
      <c r="D111" s="78">
        <f>+D103</f>
        <v>2543.69</v>
      </c>
      <c r="E111" s="62">
        <f>+E103</f>
        <v>2543.69</v>
      </c>
    </row>
    <row r="112" spans="1:5" s="30" customFormat="1" ht="16.5" customHeight="1" thickBot="1" x14ac:dyDescent="0.3">
      <c r="A112" s="393" t="s">
        <v>49</v>
      </c>
      <c r="B112" s="394"/>
      <c r="C112" s="394"/>
      <c r="D112" s="165">
        <f>+D110+D111</f>
        <v>11540.72</v>
      </c>
      <c r="E112" s="210">
        <f>+E110+E111</f>
        <v>11540.72</v>
      </c>
    </row>
    <row r="113" spans="2:5" x14ac:dyDescent="0.25">
      <c r="C113" s="31"/>
      <c r="D113" s="31"/>
      <c r="E113" s="33"/>
    </row>
    <row r="114" spans="2:5" x14ac:dyDescent="0.25">
      <c r="B114" s="28"/>
      <c r="C114" s="31"/>
      <c r="D114" s="31"/>
      <c r="E114" s="34"/>
    </row>
    <row r="115" spans="2:5" x14ac:dyDescent="0.25">
      <c r="B115" s="28"/>
      <c r="C115" s="31"/>
      <c r="D115" s="31"/>
      <c r="E115" s="34" t="s">
        <v>129</v>
      </c>
    </row>
    <row r="116" spans="2:5" x14ac:dyDescent="0.25">
      <c r="B116" s="28"/>
      <c r="C116" s="395"/>
      <c r="D116" s="395"/>
      <c r="E116" s="395"/>
    </row>
    <row r="117" spans="2:5" x14ac:dyDescent="0.25">
      <c r="B117" s="28"/>
      <c r="C117" s="31"/>
      <c r="D117" s="31"/>
      <c r="E117" s="35"/>
    </row>
    <row r="119" spans="2:5" x14ac:dyDescent="0.25">
      <c r="B119" s="36"/>
    </row>
    <row r="124" spans="2:5" x14ac:dyDescent="0.25">
      <c r="B124" s="28"/>
    </row>
  </sheetData>
  <mergeCells count="63">
    <mergeCell ref="C5:E5"/>
    <mergeCell ref="A1:E1"/>
    <mergeCell ref="A2:E2"/>
    <mergeCell ref="C3:E3"/>
    <mergeCell ref="C4:E4"/>
    <mergeCell ref="A24:C24"/>
    <mergeCell ref="C6:E6"/>
    <mergeCell ref="A7:E7"/>
    <mergeCell ref="A8:E8"/>
    <mergeCell ref="A9:E9"/>
    <mergeCell ref="A10:C10"/>
    <mergeCell ref="C11:E11"/>
    <mergeCell ref="C12:E12"/>
    <mergeCell ref="C13:E13"/>
    <mergeCell ref="C14:E14"/>
    <mergeCell ref="A15:C15"/>
    <mergeCell ref="B16:C16"/>
    <mergeCell ref="D10:E10"/>
    <mergeCell ref="B55:C55"/>
    <mergeCell ref="A25:E25"/>
    <mergeCell ref="B26:C26"/>
    <mergeCell ref="A29:B29"/>
    <mergeCell ref="A30:E30"/>
    <mergeCell ref="B31:C31"/>
    <mergeCell ref="A40:B40"/>
    <mergeCell ref="A41:E41"/>
    <mergeCell ref="A48:C48"/>
    <mergeCell ref="A49:E49"/>
    <mergeCell ref="A53:C53"/>
    <mergeCell ref="A54:E54"/>
    <mergeCell ref="A82:E82"/>
    <mergeCell ref="A61:C61"/>
    <mergeCell ref="A62:E62"/>
    <mergeCell ref="B63:C63"/>
    <mergeCell ref="A70:B70"/>
    <mergeCell ref="B72:C72"/>
    <mergeCell ref="A74:B74"/>
    <mergeCell ref="A75:E75"/>
    <mergeCell ref="A76:E76"/>
    <mergeCell ref="B77:C77"/>
    <mergeCell ref="A80:B80"/>
    <mergeCell ref="A81:C81"/>
    <mergeCell ref="A104:C104"/>
    <mergeCell ref="B83:C83"/>
    <mergeCell ref="B84:C84"/>
    <mergeCell ref="B85:C85"/>
    <mergeCell ref="B86:C86"/>
    <mergeCell ref="B87:C87"/>
    <mergeCell ref="A88:C88"/>
    <mergeCell ref="A89:C89"/>
    <mergeCell ref="A90:E90"/>
    <mergeCell ref="B91:C91"/>
    <mergeCell ref="A94:A101"/>
    <mergeCell ref="A103:C103"/>
    <mergeCell ref="B111:C111"/>
    <mergeCell ref="A112:C112"/>
    <mergeCell ref="C116:E116"/>
    <mergeCell ref="B105:C105"/>
    <mergeCell ref="B106:C106"/>
    <mergeCell ref="B107:C107"/>
    <mergeCell ref="B108:C108"/>
    <mergeCell ref="B109:C109"/>
    <mergeCell ref="A110:C110"/>
  </mergeCells>
  <hyperlinks>
    <hyperlink ref="B39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3"/>
  <sheetViews>
    <sheetView view="pageBreakPreview" zoomScaleNormal="115" zoomScaleSheetLayoutView="100" workbookViewId="0">
      <selection activeCell="A6" sqref="A6"/>
    </sheetView>
  </sheetViews>
  <sheetFormatPr defaultColWidth="9.140625" defaultRowHeight="15.75" x14ac:dyDescent="0.25"/>
  <cols>
    <col min="1" max="1" width="4.42578125" style="29" bestFit="1" customWidth="1"/>
    <col min="2" max="2" width="72.5703125" style="31" customWidth="1"/>
    <col min="3" max="4" width="15.7109375" style="32" customWidth="1"/>
    <col min="5" max="5" width="15.7109375" style="28" customWidth="1"/>
    <col min="6" max="6" width="9.140625" style="28" customWidth="1"/>
    <col min="7" max="16384" width="9.140625" style="28"/>
  </cols>
  <sheetData>
    <row r="1" spans="1:5" x14ac:dyDescent="0.25">
      <c r="A1" s="340"/>
      <c r="B1" s="341"/>
      <c r="C1" s="341"/>
      <c r="D1" s="428"/>
      <c r="E1" s="342"/>
    </row>
    <row r="2" spans="1:5" s="38" customFormat="1" ht="16.5" customHeight="1" x14ac:dyDescent="0.25">
      <c r="A2" s="379" t="s">
        <v>132</v>
      </c>
      <c r="B2" s="380"/>
      <c r="C2" s="380"/>
      <c r="D2" s="429"/>
      <c r="E2" s="381"/>
    </row>
    <row r="3" spans="1:5" s="38" customFormat="1" ht="15.75" customHeight="1" x14ac:dyDescent="0.25">
      <c r="A3" s="40" t="s">
        <v>0</v>
      </c>
      <c r="B3" s="41" t="s">
        <v>1</v>
      </c>
      <c r="C3" s="423">
        <v>2024</v>
      </c>
      <c r="D3" s="424"/>
      <c r="E3" s="425"/>
    </row>
    <row r="4" spans="1:5" s="38" customFormat="1" ht="75" customHeight="1" x14ac:dyDescent="0.25">
      <c r="A4" s="40" t="s">
        <v>2</v>
      </c>
      <c r="B4" s="41" t="s">
        <v>140</v>
      </c>
      <c r="C4" s="420" t="s">
        <v>263</v>
      </c>
      <c r="D4" s="421"/>
      <c r="E4" s="422"/>
    </row>
    <row r="5" spans="1:5" s="38" customFormat="1" ht="15.75" customHeight="1" x14ac:dyDescent="0.25">
      <c r="A5" s="40" t="s">
        <v>3</v>
      </c>
      <c r="B5" s="41" t="s">
        <v>4</v>
      </c>
      <c r="C5" s="345" t="s">
        <v>271</v>
      </c>
      <c r="D5" s="420"/>
      <c r="E5" s="346"/>
    </row>
    <row r="6" spans="1:5" s="38" customFormat="1" x14ac:dyDescent="0.25">
      <c r="A6" s="40" t="s">
        <v>5</v>
      </c>
      <c r="B6" s="41" t="s">
        <v>143</v>
      </c>
      <c r="C6" s="345">
        <v>12</v>
      </c>
      <c r="D6" s="420"/>
      <c r="E6" s="346"/>
    </row>
    <row r="7" spans="1:5" s="38" customFormat="1" x14ac:dyDescent="0.25">
      <c r="A7" s="349" t="s">
        <v>6</v>
      </c>
      <c r="B7" s="350"/>
      <c r="C7" s="350"/>
      <c r="D7" s="430"/>
      <c r="E7" s="351"/>
    </row>
    <row r="8" spans="1:5" s="38" customFormat="1" x14ac:dyDescent="0.25">
      <c r="A8" s="349" t="s">
        <v>7</v>
      </c>
      <c r="B8" s="350"/>
      <c r="C8" s="350"/>
      <c r="D8" s="430"/>
      <c r="E8" s="351"/>
    </row>
    <row r="9" spans="1:5" s="38" customFormat="1" ht="15.75" customHeight="1" x14ac:dyDescent="0.25">
      <c r="A9" s="349" t="s">
        <v>8</v>
      </c>
      <c r="B9" s="350"/>
      <c r="C9" s="350"/>
      <c r="D9" s="430"/>
      <c r="E9" s="351"/>
    </row>
    <row r="10" spans="1:5" s="38" customFormat="1" ht="30" customHeight="1" x14ac:dyDescent="0.25">
      <c r="A10" s="352" t="s">
        <v>9</v>
      </c>
      <c r="B10" s="353"/>
      <c r="C10" s="353"/>
      <c r="D10" s="432" t="s">
        <v>10</v>
      </c>
      <c r="E10" s="433"/>
    </row>
    <row r="11" spans="1:5" s="38" customFormat="1" ht="60" customHeight="1" x14ac:dyDescent="0.25">
      <c r="A11" s="40">
        <v>1</v>
      </c>
      <c r="B11" s="42" t="s">
        <v>133</v>
      </c>
      <c r="C11" s="414" t="s">
        <v>264</v>
      </c>
      <c r="D11" s="383"/>
      <c r="E11" s="415"/>
    </row>
    <row r="12" spans="1:5" s="38" customFormat="1" ht="30" customHeight="1" x14ac:dyDescent="0.25">
      <c r="A12" s="40">
        <v>2</v>
      </c>
      <c r="B12" s="42" t="s">
        <v>11</v>
      </c>
      <c r="C12" s="386">
        <v>4750</v>
      </c>
      <c r="D12" s="431"/>
      <c r="E12" s="391"/>
    </row>
    <row r="13" spans="1:5" s="38" customFormat="1" ht="15.75" customHeight="1" x14ac:dyDescent="0.25">
      <c r="A13" s="40">
        <v>3</v>
      </c>
      <c r="B13" s="42" t="s">
        <v>12</v>
      </c>
      <c r="C13" s="414" t="s">
        <v>232</v>
      </c>
      <c r="D13" s="383"/>
      <c r="E13" s="415"/>
    </row>
    <row r="14" spans="1:5" s="38" customFormat="1" x14ac:dyDescent="0.25">
      <c r="A14" s="40">
        <v>4</v>
      </c>
      <c r="B14" s="43" t="s">
        <v>13</v>
      </c>
      <c r="C14" s="418"/>
      <c r="D14" s="388"/>
      <c r="E14" s="419"/>
    </row>
    <row r="15" spans="1:5" s="39" customFormat="1" ht="31.5" x14ac:dyDescent="0.25">
      <c r="A15" s="376" t="s">
        <v>14</v>
      </c>
      <c r="B15" s="377"/>
      <c r="C15" s="377"/>
      <c r="D15" s="168" t="s">
        <v>267</v>
      </c>
      <c r="E15" s="182" t="s">
        <v>269</v>
      </c>
    </row>
    <row r="16" spans="1:5" s="39" customFormat="1" x14ac:dyDescent="0.25">
      <c r="A16" s="280">
        <v>1</v>
      </c>
      <c r="B16" s="356" t="s">
        <v>15</v>
      </c>
      <c r="C16" s="356"/>
      <c r="D16" s="57" t="s">
        <v>10</v>
      </c>
      <c r="E16" s="129" t="s">
        <v>10</v>
      </c>
    </row>
    <row r="17" spans="1:5" s="38" customFormat="1" ht="15.75" customHeight="1" x14ac:dyDescent="0.25">
      <c r="A17" s="44" t="s">
        <v>0</v>
      </c>
      <c r="B17" s="45" t="s">
        <v>16</v>
      </c>
      <c r="C17" s="43"/>
      <c r="D17" s="75">
        <f>C12</f>
        <v>4750</v>
      </c>
      <c r="E17" s="123">
        <f>C12</f>
        <v>4750</v>
      </c>
    </row>
    <row r="18" spans="1:5" s="38" customFormat="1" ht="15.75" customHeight="1" x14ac:dyDescent="0.25">
      <c r="A18" s="44" t="s">
        <v>2</v>
      </c>
      <c r="B18" s="45" t="s">
        <v>17</v>
      </c>
      <c r="C18" s="76"/>
      <c r="D18" s="77"/>
      <c r="E18" s="130"/>
    </row>
    <row r="19" spans="1:5" s="38" customFormat="1" ht="15.75" customHeight="1" x14ac:dyDescent="0.25">
      <c r="A19" s="44" t="s">
        <v>3</v>
      </c>
      <c r="B19" s="45" t="s">
        <v>18</v>
      </c>
      <c r="C19" s="109" t="s">
        <v>243</v>
      </c>
      <c r="D19" s="77">
        <f>40%*1412</f>
        <v>564.79999999999995</v>
      </c>
      <c r="E19" s="130">
        <f>40%*1412</f>
        <v>564.79999999999995</v>
      </c>
    </row>
    <row r="20" spans="1:5" s="38" customFormat="1" ht="15.75" customHeight="1" x14ac:dyDescent="0.25">
      <c r="A20" s="44" t="s">
        <v>5</v>
      </c>
      <c r="B20" s="45" t="s">
        <v>19</v>
      </c>
      <c r="C20" s="76"/>
      <c r="D20" s="77"/>
      <c r="E20" s="130"/>
    </row>
    <row r="21" spans="1:5" s="38" customFormat="1" ht="15.75" customHeight="1" x14ac:dyDescent="0.25">
      <c r="A21" s="44" t="s">
        <v>20</v>
      </c>
      <c r="B21" s="45" t="s">
        <v>204</v>
      </c>
      <c r="C21" s="76"/>
      <c r="D21" s="77"/>
      <c r="E21" s="130"/>
    </row>
    <row r="22" spans="1:5" s="38" customFormat="1" x14ac:dyDescent="0.25">
      <c r="A22" s="44" t="s">
        <v>21</v>
      </c>
      <c r="B22" s="45" t="s">
        <v>138</v>
      </c>
      <c r="C22" s="48"/>
      <c r="D22" s="77"/>
      <c r="E22" s="130"/>
    </row>
    <row r="23" spans="1:5" s="38" customFormat="1" ht="15.75" customHeight="1" x14ac:dyDescent="0.25">
      <c r="A23" s="44" t="s">
        <v>22</v>
      </c>
      <c r="B23" s="46" t="s">
        <v>139</v>
      </c>
      <c r="C23" s="48"/>
      <c r="D23" s="77"/>
      <c r="E23" s="130"/>
    </row>
    <row r="24" spans="1:5" s="39" customFormat="1" ht="15.75" customHeight="1" x14ac:dyDescent="0.25">
      <c r="A24" s="367" t="s">
        <v>152</v>
      </c>
      <c r="B24" s="368"/>
      <c r="C24" s="368"/>
      <c r="D24" s="66">
        <f>SUM(D17:D23)</f>
        <v>5314.8</v>
      </c>
      <c r="E24" s="131">
        <f>SUM(E17:E23)</f>
        <v>5314.8</v>
      </c>
    </row>
    <row r="25" spans="1:5" s="39" customFormat="1" x14ac:dyDescent="0.25">
      <c r="A25" s="370" t="s">
        <v>51</v>
      </c>
      <c r="B25" s="371"/>
      <c r="C25" s="371"/>
      <c r="D25" s="282"/>
      <c r="E25" s="159"/>
    </row>
    <row r="26" spans="1:5" s="38" customFormat="1" x14ac:dyDescent="0.25">
      <c r="A26" s="273">
        <v>2</v>
      </c>
      <c r="B26" s="354" t="s">
        <v>205</v>
      </c>
      <c r="C26" s="382"/>
      <c r="D26" s="69" t="s">
        <v>10</v>
      </c>
      <c r="E26" s="133" t="s">
        <v>10</v>
      </c>
    </row>
    <row r="27" spans="1:5" s="38" customFormat="1" x14ac:dyDescent="0.25">
      <c r="A27" s="49" t="s">
        <v>0</v>
      </c>
      <c r="B27" s="50" t="s">
        <v>28</v>
      </c>
      <c r="C27" s="55">
        <f>1/12</f>
        <v>8.3299999999999999E-2</v>
      </c>
      <c r="D27" s="78">
        <f>(D24)*C27</f>
        <v>442.72</v>
      </c>
      <c r="E27" s="125">
        <f>(E24)*C27</f>
        <v>442.72</v>
      </c>
    </row>
    <row r="28" spans="1:5" s="38" customFormat="1" x14ac:dyDescent="0.25">
      <c r="A28" s="49" t="s">
        <v>2</v>
      </c>
      <c r="B28" s="50" t="s">
        <v>148</v>
      </c>
      <c r="C28" s="55">
        <v>0.1111</v>
      </c>
      <c r="D28" s="78">
        <f>(D24)*C28</f>
        <v>590.47</v>
      </c>
      <c r="E28" s="125">
        <f>(E24)*C28</f>
        <v>590.47</v>
      </c>
    </row>
    <row r="29" spans="1:5" x14ac:dyDescent="0.25">
      <c r="A29" s="358" t="s">
        <v>27</v>
      </c>
      <c r="B29" s="359"/>
      <c r="C29" s="92">
        <f>SUM(C27:C28)</f>
        <v>0.19439999999999999</v>
      </c>
      <c r="D29" s="80">
        <f>SUM(D27:D28)</f>
        <v>1033.19</v>
      </c>
      <c r="E29" s="126">
        <f>SUM(E27:E28)</f>
        <v>1033.19</v>
      </c>
    </row>
    <row r="30" spans="1:5" ht="32.25" customHeight="1" x14ac:dyDescent="0.25">
      <c r="A30" s="362" t="s">
        <v>206</v>
      </c>
      <c r="B30" s="363"/>
      <c r="C30" s="363"/>
      <c r="D30" s="434"/>
      <c r="E30" s="364"/>
    </row>
    <row r="31" spans="1:5" x14ac:dyDescent="0.25">
      <c r="A31" s="270" t="s">
        <v>215</v>
      </c>
      <c r="B31" s="360" t="s">
        <v>25</v>
      </c>
      <c r="C31" s="361"/>
      <c r="D31" s="70" t="s">
        <v>10</v>
      </c>
      <c r="E31" s="132" t="s">
        <v>10</v>
      </c>
    </row>
    <row r="32" spans="1:5" x14ac:dyDescent="0.25">
      <c r="A32" s="49" t="s">
        <v>0</v>
      </c>
      <c r="B32" s="81" t="s">
        <v>207</v>
      </c>
      <c r="C32" s="55">
        <v>0.2</v>
      </c>
      <c r="D32" s="78">
        <f>(D24+D29)*C32</f>
        <v>1269.5999999999999</v>
      </c>
      <c r="E32" s="125">
        <f>(E24+E29)*C32</f>
        <v>1269.5999999999999</v>
      </c>
    </row>
    <row r="33" spans="1:5" x14ac:dyDescent="0.25">
      <c r="A33" s="49" t="s">
        <v>2</v>
      </c>
      <c r="B33" s="81" t="s">
        <v>208</v>
      </c>
      <c r="C33" s="82">
        <v>1.4999999999999999E-2</v>
      </c>
      <c r="D33" s="78">
        <f>(D24+D29)*C33</f>
        <v>95.22</v>
      </c>
      <c r="E33" s="125">
        <f>(E24+E29)*C33</f>
        <v>95.22</v>
      </c>
    </row>
    <row r="34" spans="1:5" x14ac:dyDescent="0.25">
      <c r="A34" s="49" t="s">
        <v>3</v>
      </c>
      <c r="B34" s="81" t="s">
        <v>209</v>
      </c>
      <c r="C34" s="82">
        <v>0.01</v>
      </c>
      <c r="D34" s="78">
        <f>(D24+D29)*C34</f>
        <v>63.48</v>
      </c>
      <c r="E34" s="125">
        <f>(E24+E29)*C34</f>
        <v>63.48</v>
      </c>
    </row>
    <row r="35" spans="1:5" ht="31.5" x14ac:dyDescent="0.25">
      <c r="A35" s="49" t="s">
        <v>5</v>
      </c>
      <c r="B35" s="269" t="s">
        <v>210</v>
      </c>
      <c r="C35" s="82">
        <v>2E-3</v>
      </c>
      <c r="D35" s="78">
        <f>(D24+D29)*C35</f>
        <v>12.7</v>
      </c>
      <c r="E35" s="125">
        <f>(E24+E29)*C35</f>
        <v>12.7</v>
      </c>
    </row>
    <row r="36" spans="1:5" x14ac:dyDescent="0.25">
      <c r="A36" s="49" t="s">
        <v>20</v>
      </c>
      <c r="B36" s="81" t="s">
        <v>211</v>
      </c>
      <c r="C36" s="82">
        <v>2.5000000000000001E-2</v>
      </c>
      <c r="D36" s="78">
        <f>(D24+D29)*C36</f>
        <v>158.69999999999999</v>
      </c>
      <c r="E36" s="125">
        <f>(E24+E29)*C36</f>
        <v>158.69999999999999</v>
      </c>
    </row>
    <row r="37" spans="1:5" x14ac:dyDescent="0.25">
      <c r="A37" s="49" t="s">
        <v>21</v>
      </c>
      <c r="B37" s="108" t="s">
        <v>212</v>
      </c>
      <c r="C37" s="82">
        <v>0.08</v>
      </c>
      <c r="D37" s="78">
        <f>(D24+D29)*C37</f>
        <v>507.84</v>
      </c>
      <c r="E37" s="125">
        <f>(E24+E29)*C37</f>
        <v>507.84</v>
      </c>
    </row>
    <row r="38" spans="1:5" ht="30.75" customHeight="1" x14ac:dyDescent="0.25">
      <c r="A38" s="49" t="s">
        <v>22</v>
      </c>
      <c r="B38" s="269" t="s">
        <v>213</v>
      </c>
      <c r="C38" s="82">
        <v>0.03</v>
      </c>
      <c r="D38" s="78">
        <f>(D24+D29)*C38</f>
        <v>190.44</v>
      </c>
      <c r="E38" s="125">
        <f>(E24+E29)*C38</f>
        <v>190.44</v>
      </c>
    </row>
    <row r="39" spans="1:5" x14ac:dyDescent="0.25">
      <c r="A39" s="49" t="s">
        <v>26</v>
      </c>
      <c r="B39" s="107" t="s">
        <v>214</v>
      </c>
      <c r="C39" s="82">
        <v>6.0000000000000001E-3</v>
      </c>
      <c r="D39" s="78">
        <f>(D24+D29)*C39</f>
        <v>38.090000000000003</v>
      </c>
      <c r="E39" s="125">
        <f>(E24+E29)*C39</f>
        <v>38.090000000000003</v>
      </c>
    </row>
    <row r="40" spans="1:5" s="30" customFormat="1" x14ac:dyDescent="0.25">
      <c r="A40" s="358" t="s">
        <v>27</v>
      </c>
      <c r="B40" s="359"/>
      <c r="C40" s="56">
        <f>SUM(C32:C39)</f>
        <v>0.36799999999999999</v>
      </c>
      <c r="D40" s="80">
        <f>SUM(D32:D39)</f>
        <v>2336.0700000000002</v>
      </c>
      <c r="E40" s="126">
        <f>SUM(E32:E39)</f>
        <v>2336.0700000000002</v>
      </c>
    </row>
    <row r="41" spans="1:5" s="30" customFormat="1" x14ac:dyDescent="0.25">
      <c r="A41" s="74" t="s">
        <v>216</v>
      </c>
      <c r="B41" s="374" t="s">
        <v>217</v>
      </c>
      <c r="C41" s="375"/>
      <c r="D41" s="105" t="s">
        <v>10</v>
      </c>
      <c r="E41" s="140" t="s">
        <v>10</v>
      </c>
    </row>
    <row r="42" spans="1:5" s="30" customFormat="1" x14ac:dyDescent="0.25">
      <c r="A42" s="91" t="s">
        <v>0</v>
      </c>
      <c r="B42" s="53" t="s">
        <v>144</v>
      </c>
      <c r="C42" s="106"/>
      <c r="D42" s="77">
        <v>0</v>
      </c>
      <c r="E42" s="130">
        <v>0</v>
      </c>
    </row>
    <row r="43" spans="1:5" s="30" customFormat="1" x14ac:dyDescent="0.25">
      <c r="A43" s="47" t="s">
        <v>2</v>
      </c>
      <c r="B43" s="46" t="s">
        <v>218</v>
      </c>
      <c r="C43" s="73"/>
      <c r="D43" s="75">
        <f>C43-(C43*0.99%)</f>
        <v>0</v>
      </c>
      <c r="E43" s="123">
        <f>C43-(C43*0.99%)</f>
        <v>0</v>
      </c>
    </row>
    <row r="44" spans="1:5" s="30" customFormat="1" x14ac:dyDescent="0.25">
      <c r="A44" s="49" t="s">
        <v>5</v>
      </c>
      <c r="B44" s="50" t="s">
        <v>134</v>
      </c>
      <c r="C44" s="84"/>
      <c r="D44" s="85">
        <v>0</v>
      </c>
      <c r="E44" s="124">
        <v>0</v>
      </c>
    </row>
    <row r="45" spans="1:5" s="30" customFormat="1" x14ac:dyDescent="0.25">
      <c r="A45" s="49" t="s">
        <v>20</v>
      </c>
      <c r="B45" s="50" t="s">
        <v>135</v>
      </c>
      <c r="C45" s="55"/>
      <c r="D45" s="85">
        <f>D17*C45*0.0199*2/12</f>
        <v>0</v>
      </c>
      <c r="E45" s="124">
        <f>E17*C45*0.0199*2/12</f>
        <v>0</v>
      </c>
    </row>
    <row r="46" spans="1:5" s="30" customFormat="1" x14ac:dyDescent="0.25">
      <c r="A46" s="49" t="s">
        <v>21</v>
      </c>
      <c r="B46" s="50" t="s">
        <v>136</v>
      </c>
      <c r="C46" s="84"/>
      <c r="D46" s="78">
        <v>0</v>
      </c>
      <c r="E46" s="125">
        <v>0</v>
      </c>
    </row>
    <row r="47" spans="1:5" s="30" customFormat="1" ht="15.75" customHeight="1" x14ac:dyDescent="0.25">
      <c r="A47" s="358" t="s">
        <v>23</v>
      </c>
      <c r="B47" s="359"/>
      <c r="C47" s="359"/>
      <c r="D47" s="80">
        <f>SUM(D42:D46)</f>
        <v>0</v>
      </c>
      <c r="E47" s="126">
        <f>SUM(E42:E46)</f>
        <v>0</v>
      </c>
    </row>
    <row r="48" spans="1:5" s="30" customFormat="1" ht="15.75" customHeight="1" x14ac:dyDescent="0.25">
      <c r="A48" s="370" t="s">
        <v>151</v>
      </c>
      <c r="B48" s="371"/>
      <c r="C48" s="371"/>
      <c r="D48" s="435"/>
      <c r="E48" s="412"/>
    </row>
    <row r="49" spans="1:5" s="30" customFormat="1" ht="15.75" customHeight="1" x14ac:dyDescent="0.25">
      <c r="A49" s="280" t="s">
        <v>141</v>
      </c>
      <c r="B49" s="97" t="s">
        <v>145</v>
      </c>
      <c r="C49" s="277"/>
      <c r="D49" s="65">
        <f>D29</f>
        <v>1033.19</v>
      </c>
      <c r="E49" s="134">
        <f>E29</f>
        <v>1033.19</v>
      </c>
    </row>
    <row r="50" spans="1:5" s="30" customFormat="1" ht="15.75" customHeight="1" x14ac:dyDescent="0.25">
      <c r="A50" s="280" t="s">
        <v>215</v>
      </c>
      <c r="B50" s="97" t="s">
        <v>146</v>
      </c>
      <c r="C50" s="277"/>
      <c r="D50" s="65">
        <f>D40</f>
        <v>2336.0700000000002</v>
      </c>
      <c r="E50" s="134">
        <f>E40</f>
        <v>2336.0700000000002</v>
      </c>
    </row>
    <row r="51" spans="1:5" s="30" customFormat="1" ht="15.75" customHeight="1" x14ac:dyDescent="0.25">
      <c r="A51" s="280" t="s">
        <v>216</v>
      </c>
      <c r="B51" s="97" t="s">
        <v>147</v>
      </c>
      <c r="C51" s="277"/>
      <c r="D51" s="65">
        <f>D47</f>
        <v>0</v>
      </c>
      <c r="E51" s="134">
        <f>E47</f>
        <v>0</v>
      </c>
    </row>
    <row r="52" spans="1:5" s="30" customFormat="1" ht="15.75" customHeight="1" x14ac:dyDescent="0.25">
      <c r="A52" s="367" t="s">
        <v>153</v>
      </c>
      <c r="B52" s="368"/>
      <c r="C52" s="368"/>
      <c r="D52" s="66">
        <f>SUM(D49:D51)</f>
        <v>3369.26</v>
      </c>
      <c r="E52" s="131">
        <f>SUM(E49:E51)</f>
        <v>3369.26</v>
      </c>
    </row>
    <row r="53" spans="1:5" s="30" customFormat="1" ht="15.75" customHeight="1" x14ac:dyDescent="0.25">
      <c r="A53" s="370" t="s">
        <v>162</v>
      </c>
      <c r="B53" s="371"/>
      <c r="C53" s="371"/>
      <c r="D53" s="435"/>
      <c r="E53" s="412"/>
    </row>
    <row r="54" spans="1:5" s="30" customFormat="1" ht="15.75" customHeight="1" x14ac:dyDescent="0.25">
      <c r="A54" s="273" t="s">
        <v>200</v>
      </c>
      <c r="B54" s="354" t="s">
        <v>32</v>
      </c>
      <c r="C54" s="355"/>
      <c r="D54" s="69" t="s">
        <v>10</v>
      </c>
      <c r="E54" s="133" t="s">
        <v>10</v>
      </c>
    </row>
    <row r="55" spans="1:5" s="30" customFormat="1" ht="15.75" customHeight="1" x14ac:dyDescent="0.25">
      <c r="A55" s="49" t="s">
        <v>0</v>
      </c>
      <c r="B55" s="50" t="s">
        <v>33</v>
      </c>
      <c r="C55" s="55">
        <v>4.5999999999999999E-3</v>
      </c>
      <c r="D55" s="78">
        <f>D$24*C55</f>
        <v>24.45</v>
      </c>
      <c r="E55" s="125">
        <f>E$24*C55</f>
        <v>24.45</v>
      </c>
    </row>
    <row r="56" spans="1:5" s="30" customFormat="1" ht="15.75" customHeight="1" x14ac:dyDescent="0.25">
      <c r="A56" s="49" t="s">
        <v>2</v>
      </c>
      <c r="B56" s="50" t="s">
        <v>34</v>
      </c>
      <c r="C56" s="55">
        <v>4.0000000000000002E-4</v>
      </c>
      <c r="D56" s="78">
        <f>D$24*C56</f>
        <v>2.13</v>
      </c>
      <c r="E56" s="125">
        <f>E$24*C56</f>
        <v>2.13</v>
      </c>
    </row>
    <row r="57" spans="1:5" s="30" customFormat="1" ht="15.75" customHeight="1" x14ac:dyDescent="0.25">
      <c r="A57" s="49" t="s">
        <v>3</v>
      </c>
      <c r="B57" s="50" t="s">
        <v>35</v>
      </c>
      <c r="C57" s="55">
        <v>1.9400000000000001E-2</v>
      </c>
      <c r="D57" s="78">
        <f>D$24*C57</f>
        <v>103.11</v>
      </c>
      <c r="E57" s="125">
        <f>E$24*C57</f>
        <v>103.11</v>
      </c>
    </row>
    <row r="58" spans="1:5" s="30" customFormat="1" ht="15.75" customHeight="1" x14ac:dyDescent="0.25">
      <c r="A58" s="49" t="s">
        <v>5</v>
      </c>
      <c r="B58" s="98" t="s">
        <v>174</v>
      </c>
      <c r="C58" s="55">
        <v>7.1000000000000004E-3</v>
      </c>
      <c r="D58" s="78">
        <f>D$24*C58</f>
        <v>37.74</v>
      </c>
      <c r="E58" s="125">
        <f>E$24*C58</f>
        <v>37.74</v>
      </c>
    </row>
    <row r="59" spans="1:5" s="30" customFormat="1" ht="32.25" customHeight="1" x14ac:dyDescent="0.25">
      <c r="A59" s="49" t="s">
        <v>20</v>
      </c>
      <c r="B59" s="50" t="s">
        <v>219</v>
      </c>
      <c r="C59" s="55">
        <v>0.04</v>
      </c>
      <c r="D59" s="78">
        <f>D$24*C59</f>
        <v>212.59</v>
      </c>
      <c r="E59" s="125">
        <f>E$24*C59</f>
        <v>212.59</v>
      </c>
    </row>
    <row r="60" spans="1:5" s="30" customFormat="1" x14ac:dyDescent="0.25">
      <c r="A60" s="367" t="s">
        <v>154</v>
      </c>
      <c r="B60" s="368"/>
      <c r="C60" s="368"/>
      <c r="D60" s="66">
        <f>SUM(D55:D59)</f>
        <v>380.02</v>
      </c>
      <c r="E60" s="131">
        <f>SUM(E55:E59)</f>
        <v>380.02</v>
      </c>
    </row>
    <row r="61" spans="1:5" s="30" customFormat="1" x14ac:dyDescent="0.25">
      <c r="A61" s="370" t="s">
        <v>163</v>
      </c>
      <c r="B61" s="371"/>
      <c r="C61" s="371"/>
      <c r="D61" s="435"/>
      <c r="E61" s="412"/>
    </row>
    <row r="62" spans="1:5" s="30" customFormat="1" x14ac:dyDescent="0.25">
      <c r="A62" s="273" t="s">
        <v>199</v>
      </c>
      <c r="B62" s="369" t="s">
        <v>36</v>
      </c>
      <c r="C62" s="369"/>
      <c r="D62" s="69" t="s">
        <v>10</v>
      </c>
      <c r="E62" s="133" t="s">
        <v>10</v>
      </c>
    </row>
    <row r="63" spans="1:5" s="30" customFormat="1" x14ac:dyDescent="0.25">
      <c r="A63" s="49" t="s">
        <v>0</v>
      </c>
      <c r="B63" s="50" t="s">
        <v>192</v>
      </c>
      <c r="C63" s="55">
        <v>9.2999999999999992E-3</v>
      </c>
      <c r="D63" s="78">
        <f>(D24+D52+D60+D83)*C63</f>
        <v>84.64</v>
      </c>
      <c r="E63" s="125">
        <f>(E24+E52+E60+E83)*C63</f>
        <v>84.64</v>
      </c>
    </row>
    <row r="64" spans="1:5" s="30" customFormat="1" x14ac:dyDescent="0.25">
      <c r="A64" s="49" t="s">
        <v>2</v>
      </c>
      <c r="B64" s="50" t="s">
        <v>193</v>
      </c>
      <c r="C64" s="55">
        <v>1.66E-2</v>
      </c>
      <c r="D64" s="78">
        <f>(D$24+D$52+D$60+D83)*C64</f>
        <v>151.07</v>
      </c>
      <c r="E64" s="125">
        <f>(E$24+E$52+E$60+E83)*C64</f>
        <v>151.07</v>
      </c>
    </row>
    <row r="65" spans="1:5" s="30" customFormat="1" x14ac:dyDescent="0.25">
      <c r="A65" s="49" t="s">
        <v>3</v>
      </c>
      <c r="B65" s="50" t="s">
        <v>194</v>
      </c>
      <c r="C65" s="55">
        <v>2.0000000000000001E-4</v>
      </c>
      <c r="D65" s="78">
        <f>(D$24+D$52+D$60+D$83)*C65</f>
        <v>1.82</v>
      </c>
      <c r="E65" s="125">
        <f>(E$24+E$52+E$60+E$83)*C65</f>
        <v>1.82</v>
      </c>
    </row>
    <row r="66" spans="1:5" s="30" customFormat="1" x14ac:dyDescent="0.25">
      <c r="A66" s="49" t="s">
        <v>5</v>
      </c>
      <c r="B66" s="50" t="s">
        <v>195</v>
      </c>
      <c r="C66" s="55">
        <v>2.7000000000000001E-3</v>
      </c>
      <c r="D66" s="78">
        <f>(D$24+D$52+D$60+D$83)*C66</f>
        <v>24.57</v>
      </c>
      <c r="E66" s="125">
        <f>(E$24+E$52+E$60+E$83)*C66</f>
        <v>24.57</v>
      </c>
    </row>
    <row r="67" spans="1:5" s="30" customFormat="1" x14ac:dyDescent="0.25">
      <c r="A67" s="49" t="s">
        <v>20</v>
      </c>
      <c r="B67" s="50" t="s">
        <v>196</v>
      </c>
      <c r="C67" s="55">
        <v>2.9999999999999997E-4</v>
      </c>
      <c r="D67" s="78">
        <f>(D$24+D$52+D$60+D$83)*C67</f>
        <v>2.73</v>
      </c>
      <c r="E67" s="125">
        <f>(E$24+E$52+E$60+E$83)*C67</f>
        <v>2.73</v>
      </c>
    </row>
    <row r="68" spans="1:5" s="30" customFormat="1" ht="15.75" customHeight="1" x14ac:dyDescent="0.25">
      <c r="A68" s="49" t="s">
        <v>21</v>
      </c>
      <c r="B68" s="276" t="s">
        <v>197</v>
      </c>
      <c r="C68" s="55">
        <v>0</v>
      </c>
      <c r="D68" s="78">
        <f>(D$24+D$52+D$60+D$83)*C68</f>
        <v>0</v>
      </c>
      <c r="E68" s="125">
        <f>(E$24+E$52+E$60+E$83)*C68</f>
        <v>0</v>
      </c>
    </row>
    <row r="69" spans="1:5" s="30" customFormat="1" x14ac:dyDescent="0.25">
      <c r="A69" s="358" t="s">
        <v>29</v>
      </c>
      <c r="B69" s="359"/>
      <c r="C69" s="56">
        <f>SUM(C63:C68)</f>
        <v>2.9100000000000001E-2</v>
      </c>
      <c r="D69" s="80">
        <f>SUM(D63:D68)</f>
        <v>264.83</v>
      </c>
      <c r="E69" s="126">
        <f>SUM(E63:E68)</f>
        <v>264.83</v>
      </c>
    </row>
    <row r="70" spans="1:5" s="30" customFormat="1" x14ac:dyDescent="0.25">
      <c r="A70" s="280"/>
      <c r="B70" s="277"/>
      <c r="C70" s="72"/>
      <c r="D70" s="200"/>
      <c r="E70" s="123"/>
    </row>
    <row r="71" spans="1:5" s="30" customFormat="1" x14ac:dyDescent="0.25">
      <c r="A71" s="280"/>
      <c r="B71" s="356" t="s">
        <v>201</v>
      </c>
      <c r="C71" s="357"/>
      <c r="D71" s="69" t="s">
        <v>10</v>
      </c>
      <c r="E71" s="133" t="s">
        <v>10</v>
      </c>
    </row>
    <row r="72" spans="1:5" s="30" customFormat="1" x14ac:dyDescent="0.25">
      <c r="A72" s="47" t="s">
        <v>0</v>
      </c>
      <c r="B72" s="271" t="s">
        <v>202</v>
      </c>
      <c r="C72" s="93">
        <v>0</v>
      </c>
      <c r="D72" s="203">
        <v>0</v>
      </c>
      <c r="E72" s="166">
        <v>0</v>
      </c>
    </row>
    <row r="73" spans="1:5" s="30" customFormat="1" ht="15.75" customHeight="1" x14ac:dyDescent="0.25">
      <c r="A73" s="358" t="s">
        <v>27</v>
      </c>
      <c r="B73" s="359"/>
      <c r="C73" s="94">
        <v>0</v>
      </c>
      <c r="D73" s="80">
        <f>D72</f>
        <v>0</v>
      </c>
      <c r="E73" s="126">
        <f>E72</f>
        <v>0</v>
      </c>
    </row>
    <row r="74" spans="1:5" s="30" customFormat="1" ht="15.75" customHeight="1" x14ac:dyDescent="0.25">
      <c r="A74" s="370" t="s">
        <v>30</v>
      </c>
      <c r="B74" s="371"/>
      <c r="C74" s="371"/>
      <c r="D74" s="435"/>
      <c r="E74" s="412"/>
    </row>
    <row r="75" spans="1:5" s="30" customFormat="1" ht="15.75" customHeight="1" x14ac:dyDescent="0.25">
      <c r="A75" s="372" t="s">
        <v>203</v>
      </c>
      <c r="B75" s="373"/>
      <c r="C75" s="373"/>
      <c r="D75" s="438"/>
      <c r="E75" s="439"/>
    </row>
    <row r="76" spans="1:5" s="30" customFormat="1" ht="15.75" customHeight="1" x14ac:dyDescent="0.25">
      <c r="A76" s="273">
        <v>4</v>
      </c>
      <c r="B76" s="354" t="s">
        <v>220</v>
      </c>
      <c r="C76" s="355"/>
      <c r="D76" s="69" t="s">
        <v>10</v>
      </c>
      <c r="E76" s="133" t="s">
        <v>10</v>
      </c>
    </row>
    <row r="77" spans="1:5" s="30" customFormat="1" ht="15.75" customHeight="1" x14ac:dyDescent="0.25">
      <c r="A77" s="49" t="s">
        <v>199</v>
      </c>
      <c r="B77" s="50" t="s">
        <v>198</v>
      </c>
      <c r="C77" s="55">
        <f>C69</f>
        <v>2.9100000000000001E-2</v>
      </c>
      <c r="D77" s="78">
        <f>D69</f>
        <v>264.83</v>
      </c>
      <c r="E77" s="125">
        <f>E69</f>
        <v>264.83</v>
      </c>
    </row>
    <row r="78" spans="1:5" s="30" customFormat="1" ht="15.75" customHeight="1" x14ac:dyDescent="0.25">
      <c r="A78" s="49" t="s">
        <v>221</v>
      </c>
      <c r="B78" s="50" t="s">
        <v>201</v>
      </c>
      <c r="C78" s="55">
        <v>0</v>
      </c>
      <c r="D78" s="78">
        <f>(D$24+D$52+D$60)*C78</f>
        <v>0</v>
      </c>
      <c r="E78" s="125">
        <f>(E$24+E$52+E$60)*C78</f>
        <v>0</v>
      </c>
    </row>
    <row r="79" spans="1:5" s="30" customFormat="1" ht="15.75" customHeight="1" x14ac:dyDescent="0.25">
      <c r="A79" s="358" t="s">
        <v>27</v>
      </c>
      <c r="B79" s="359"/>
      <c r="C79" s="92">
        <f>SUM(C77:C78)</f>
        <v>2.9100000000000001E-2</v>
      </c>
      <c r="D79" s="80">
        <f>SUM(D77:D78)</f>
        <v>264.83</v>
      </c>
      <c r="E79" s="126">
        <f>SUM(E77:E78)</f>
        <v>264.83</v>
      </c>
    </row>
    <row r="80" spans="1:5" s="30" customFormat="1" ht="15.75" customHeight="1" x14ac:dyDescent="0.25">
      <c r="A80" s="367" t="s">
        <v>155</v>
      </c>
      <c r="B80" s="368"/>
      <c r="C80" s="368"/>
      <c r="D80" s="66">
        <f>SUM(D73+D79)</f>
        <v>264.83</v>
      </c>
      <c r="E80" s="131">
        <f>SUM(E73+E79)</f>
        <v>264.83</v>
      </c>
    </row>
    <row r="81" spans="1:5" s="30" customFormat="1" ht="15.75" customHeight="1" x14ac:dyDescent="0.25">
      <c r="A81" s="365" t="s">
        <v>164</v>
      </c>
      <c r="B81" s="366"/>
      <c r="C81" s="366"/>
      <c r="D81" s="436"/>
      <c r="E81" s="437"/>
    </row>
    <row r="82" spans="1:5" s="30" customFormat="1" ht="15.75" customHeight="1" x14ac:dyDescent="0.25">
      <c r="A82" s="273">
        <v>5</v>
      </c>
      <c r="B82" s="354" t="s">
        <v>24</v>
      </c>
      <c r="C82" s="355"/>
      <c r="D82" s="69" t="s">
        <v>10</v>
      </c>
      <c r="E82" s="133" t="s">
        <v>10</v>
      </c>
    </row>
    <row r="83" spans="1:5" s="30" customFormat="1" ht="15.75" customHeight="1" x14ac:dyDescent="0.25">
      <c r="A83" s="49" t="s">
        <v>0</v>
      </c>
      <c r="B83" s="401" t="s">
        <v>222</v>
      </c>
      <c r="C83" s="401"/>
      <c r="D83" s="78">
        <f>Uniformes!H7</f>
        <v>36.619999999999997</v>
      </c>
      <c r="E83" s="125">
        <f>Uniformes!H7</f>
        <v>36.619999999999997</v>
      </c>
    </row>
    <row r="84" spans="1:5" s="30" customFormat="1" ht="15.75" customHeight="1" x14ac:dyDescent="0.25">
      <c r="A84" s="49" t="s">
        <v>2</v>
      </c>
      <c r="B84" s="401" t="s">
        <v>223</v>
      </c>
      <c r="C84" s="401"/>
      <c r="D84" s="78">
        <f>Materiais!H20</f>
        <v>44.57</v>
      </c>
      <c r="E84" s="125">
        <f>Materiais!H21</f>
        <v>44.57</v>
      </c>
    </row>
    <row r="85" spans="1:5" s="30" customFormat="1" ht="15.75" customHeight="1" x14ac:dyDescent="0.25">
      <c r="A85" s="49" t="s">
        <v>3</v>
      </c>
      <c r="B85" s="401" t="s">
        <v>187</v>
      </c>
      <c r="C85" s="401"/>
      <c r="D85" s="78">
        <f>Equipamentos!H21</f>
        <v>922.4</v>
      </c>
      <c r="E85" s="125">
        <f>Equipamentos!H22</f>
        <v>922.4</v>
      </c>
    </row>
    <row r="86" spans="1:5" s="30" customFormat="1" ht="15.75" customHeight="1" x14ac:dyDescent="0.25">
      <c r="A86" s="49" t="s">
        <v>5</v>
      </c>
      <c r="B86" s="401" t="s">
        <v>137</v>
      </c>
      <c r="C86" s="401"/>
      <c r="D86" s="78">
        <v>0</v>
      </c>
      <c r="E86" s="125">
        <v>0</v>
      </c>
    </row>
    <row r="87" spans="1:5" s="30" customFormat="1" ht="15.75" customHeight="1" x14ac:dyDescent="0.25">
      <c r="A87" s="367" t="s">
        <v>156</v>
      </c>
      <c r="B87" s="368"/>
      <c r="C87" s="368"/>
      <c r="D87" s="66">
        <f>SUM(D83:D86)</f>
        <v>1003.59</v>
      </c>
      <c r="E87" s="131">
        <f>SUM(E83:E86)</f>
        <v>1003.59</v>
      </c>
    </row>
    <row r="88" spans="1:5" s="30" customFormat="1" ht="30" customHeight="1" x14ac:dyDescent="0.25">
      <c r="A88" s="365" t="s">
        <v>225</v>
      </c>
      <c r="B88" s="366"/>
      <c r="C88" s="366"/>
      <c r="D88" s="161">
        <f>D87+D80+D60+D52+D24</f>
        <v>10332.5</v>
      </c>
      <c r="E88" s="135">
        <f>E87+E80+E60+E52+E24</f>
        <v>10332.5</v>
      </c>
    </row>
    <row r="89" spans="1:5" s="30" customFormat="1" ht="19.5" customHeight="1" x14ac:dyDescent="0.25">
      <c r="A89" s="370" t="s">
        <v>165</v>
      </c>
      <c r="B89" s="371"/>
      <c r="C89" s="371"/>
      <c r="D89" s="435"/>
      <c r="E89" s="412"/>
    </row>
    <row r="90" spans="1:5" s="30" customFormat="1" x14ac:dyDescent="0.25">
      <c r="A90" s="273">
        <v>5</v>
      </c>
      <c r="B90" s="354" t="s">
        <v>38</v>
      </c>
      <c r="C90" s="382"/>
      <c r="D90" s="69" t="s">
        <v>10</v>
      </c>
      <c r="E90" s="133" t="s">
        <v>10</v>
      </c>
    </row>
    <row r="91" spans="1:5" s="30" customFormat="1" x14ac:dyDescent="0.25">
      <c r="A91" s="273" t="s">
        <v>0</v>
      </c>
      <c r="B91" s="50" t="s">
        <v>39</v>
      </c>
      <c r="C91" s="55">
        <v>0.03</v>
      </c>
      <c r="D91" s="78">
        <f>+D88*C91</f>
        <v>309.98</v>
      </c>
      <c r="E91" s="125">
        <f>+E88*C91</f>
        <v>309.98</v>
      </c>
    </row>
    <row r="92" spans="1:5" s="30" customFormat="1" x14ac:dyDescent="0.25">
      <c r="A92" s="273" t="s">
        <v>2</v>
      </c>
      <c r="B92" s="50" t="s">
        <v>40</v>
      </c>
      <c r="C92" s="55">
        <v>6.7900000000000002E-2</v>
      </c>
      <c r="D92" s="78">
        <f>C92*(+D88+D91)</f>
        <v>722.62</v>
      </c>
      <c r="E92" s="125">
        <f>C92*(+E88+E91)</f>
        <v>722.62</v>
      </c>
    </row>
    <row r="93" spans="1:5" s="30" customFormat="1" ht="31.5" x14ac:dyDescent="0.25">
      <c r="A93" s="396" t="s">
        <v>3</v>
      </c>
      <c r="B93" s="50" t="s">
        <v>50</v>
      </c>
      <c r="C93" s="55">
        <f>1-C101</f>
        <v>0.85750000000000004</v>
      </c>
      <c r="D93" s="78">
        <f>+D88+D91+D92</f>
        <v>11365.1</v>
      </c>
      <c r="E93" s="125">
        <f>+E88+E91+E92</f>
        <v>11365.1</v>
      </c>
    </row>
    <row r="94" spans="1:5" s="30" customFormat="1" x14ac:dyDescent="0.25">
      <c r="A94" s="396"/>
      <c r="B94" s="276" t="s">
        <v>41</v>
      </c>
      <c r="C94" s="89"/>
      <c r="D94" s="162">
        <f>+D93/C93</f>
        <v>13253.76</v>
      </c>
      <c r="E94" s="136">
        <f>+E93/C93</f>
        <v>13253.76</v>
      </c>
    </row>
    <row r="95" spans="1:5" s="30" customFormat="1" x14ac:dyDescent="0.25">
      <c r="A95" s="396"/>
      <c r="B95" s="276" t="s">
        <v>42</v>
      </c>
      <c r="C95" s="68"/>
      <c r="D95" s="78"/>
      <c r="E95" s="125"/>
    </row>
    <row r="96" spans="1:5" s="30" customFormat="1" x14ac:dyDescent="0.25">
      <c r="A96" s="396"/>
      <c r="B96" s="50" t="s">
        <v>130</v>
      </c>
      <c r="C96" s="55">
        <v>1.6500000000000001E-2</v>
      </c>
      <c r="D96" s="78">
        <f>+D94*C96</f>
        <v>218.69</v>
      </c>
      <c r="E96" s="125">
        <f>+E94*C96</f>
        <v>218.69</v>
      </c>
    </row>
    <row r="97" spans="1:5" s="30" customFormat="1" x14ac:dyDescent="0.25">
      <c r="A97" s="396"/>
      <c r="B97" s="50" t="s">
        <v>131</v>
      </c>
      <c r="C97" s="55">
        <v>7.5999999999999998E-2</v>
      </c>
      <c r="D97" s="78">
        <f>+D94*C97</f>
        <v>1007.29</v>
      </c>
      <c r="E97" s="125">
        <f>+E94*C97</f>
        <v>1007.29</v>
      </c>
    </row>
    <row r="98" spans="1:5" s="30" customFormat="1" x14ac:dyDescent="0.25">
      <c r="A98" s="396"/>
      <c r="B98" s="51" t="s">
        <v>43</v>
      </c>
      <c r="C98" s="89"/>
      <c r="D98" s="78"/>
      <c r="E98" s="125"/>
    </row>
    <row r="99" spans="1:5" s="30" customFormat="1" x14ac:dyDescent="0.25">
      <c r="A99" s="396"/>
      <c r="B99" s="51" t="s">
        <v>44</v>
      </c>
      <c r="C99" s="95"/>
      <c r="D99" s="78"/>
      <c r="E99" s="125"/>
    </row>
    <row r="100" spans="1:5" s="30" customFormat="1" x14ac:dyDescent="0.25">
      <c r="A100" s="396"/>
      <c r="B100" s="50" t="s">
        <v>142</v>
      </c>
      <c r="C100" s="55">
        <v>0.05</v>
      </c>
      <c r="D100" s="78">
        <f>+D94*C100</f>
        <v>662.69</v>
      </c>
      <c r="E100" s="125">
        <f>+E94*C100</f>
        <v>662.69</v>
      </c>
    </row>
    <row r="101" spans="1:5" s="30" customFormat="1" x14ac:dyDescent="0.25">
      <c r="A101" s="273"/>
      <c r="B101" s="99" t="s">
        <v>45</v>
      </c>
      <c r="C101" s="100">
        <f>SUM(C96:C100)</f>
        <v>0.14249999999999999</v>
      </c>
      <c r="D101" s="101">
        <f>SUM(D96:D100)</f>
        <v>1888.67</v>
      </c>
      <c r="E101" s="138">
        <f>SUM(E96:E100)</f>
        <v>1888.67</v>
      </c>
    </row>
    <row r="102" spans="1:5" s="30" customFormat="1" ht="15.75" customHeight="1" x14ac:dyDescent="0.25">
      <c r="A102" s="358" t="s">
        <v>46</v>
      </c>
      <c r="B102" s="359"/>
      <c r="C102" s="359"/>
      <c r="D102" s="80">
        <f>+D91+D92+D101</f>
        <v>2921.27</v>
      </c>
      <c r="E102" s="126">
        <f>+E91+E92+E101</f>
        <v>2921.27</v>
      </c>
    </row>
    <row r="103" spans="1:5" s="30" customFormat="1" ht="15.75" customHeight="1" x14ac:dyDescent="0.25">
      <c r="A103" s="397" t="s">
        <v>47</v>
      </c>
      <c r="B103" s="398"/>
      <c r="C103" s="398"/>
      <c r="D103" s="71" t="s">
        <v>10</v>
      </c>
      <c r="E103" s="167" t="s">
        <v>10</v>
      </c>
    </row>
    <row r="104" spans="1:5" s="30" customFormat="1" x14ac:dyDescent="0.25">
      <c r="A104" s="49" t="s">
        <v>0</v>
      </c>
      <c r="B104" s="399" t="s">
        <v>48</v>
      </c>
      <c r="C104" s="399"/>
      <c r="D104" s="78">
        <f>D24</f>
        <v>5314.8</v>
      </c>
      <c r="E104" s="125">
        <f>E24</f>
        <v>5314.8</v>
      </c>
    </row>
    <row r="105" spans="1:5" s="30" customFormat="1" x14ac:dyDescent="0.25">
      <c r="A105" s="49" t="s">
        <v>2</v>
      </c>
      <c r="B105" s="399" t="s">
        <v>159</v>
      </c>
      <c r="C105" s="399"/>
      <c r="D105" s="78">
        <f>D52</f>
        <v>3369.26</v>
      </c>
      <c r="E105" s="125">
        <f>E52</f>
        <v>3369.26</v>
      </c>
    </row>
    <row r="106" spans="1:5" s="30" customFormat="1" x14ac:dyDescent="0.25">
      <c r="A106" s="49" t="s">
        <v>3</v>
      </c>
      <c r="B106" s="399" t="s">
        <v>157</v>
      </c>
      <c r="C106" s="399"/>
      <c r="D106" s="78">
        <f>D60</f>
        <v>380.02</v>
      </c>
      <c r="E106" s="125">
        <f>E60</f>
        <v>380.02</v>
      </c>
    </row>
    <row r="107" spans="1:5" s="30" customFormat="1" x14ac:dyDescent="0.25">
      <c r="A107" s="49" t="s">
        <v>5</v>
      </c>
      <c r="B107" s="440" t="s">
        <v>150</v>
      </c>
      <c r="C107" s="441"/>
      <c r="D107" s="78">
        <f>D80</f>
        <v>264.83</v>
      </c>
      <c r="E107" s="125">
        <f>E80</f>
        <v>264.83</v>
      </c>
    </row>
    <row r="108" spans="1:5" s="30" customFormat="1" x14ac:dyDescent="0.25">
      <c r="A108" s="49" t="s">
        <v>20</v>
      </c>
      <c r="B108" s="440" t="s">
        <v>158</v>
      </c>
      <c r="C108" s="441"/>
      <c r="D108" s="78">
        <f>D87</f>
        <v>1003.59</v>
      </c>
      <c r="E108" s="125">
        <f>E87</f>
        <v>1003.59</v>
      </c>
    </row>
    <row r="109" spans="1:5" s="30" customFormat="1" ht="15.75" customHeight="1" x14ac:dyDescent="0.25">
      <c r="A109" s="396" t="s">
        <v>160</v>
      </c>
      <c r="B109" s="400"/>
      <c r="C109" s="400"/>
      <c r="D109" s="101">
        <f>SUM(D104:D108)</f>
        <v>10332.5</v>
      </c>
      <c r="E109" s="138">
        <f>SUM(E104:E108)</f>
        <v>10332.5</v>
      </c>
    </row>
    <row r="110" spans="1:5" s="30" customFormat="1" x14ac:dyDescent="0.25">
      <c r="A110" s="273" t="s">
        <v>20</v>
      </c>
      <c r="B110" s="399" t="s">
        <v>161</v>
      </c>
      <c r="C110" s="399"/>
      <c r="D110" s="78">
        <f>+D102</f>
        <v>2921.27</v>
      </c>
      <c r="E110" s="125">
        <f>+E102</f>
        <v>2921.27</v>
      </c>
    </row>
    <row r="111" spans="1:5" s="30" customFormat="1" ht="16.5" customHeight="1" thickBot="1" x14ac:dyDescent="0.3">
      <c r="A111" s="393" t="s">
        <v>49</v>
      </c>
      <c r="B111" s="394"/>
      <c r="C111" s="394"/>
      <c r="D111" s="165">
        <f>+D109+D110</f>
        <v>13253.77</v>
      </c>
      <c r="E111" s="139">
        <f>+E109+E110</f>
        <v>13253.77</v>
      </c>
    </row>
    <row r="112" spans="1:5" x14ac:dyDescent="0.25">
      <c r="C112" s="31"/>
      <c r="D112" s="31"/>
    </row>
    <row r="113" spans="2:4" x14ac:dyDescent="0.25">
      <c r="B113" s="28"/>
      <c r="C113" s="31"/>
      <c r="D113" s="31"/>
    </row>
    <row r="114" spans="2:4" x14ac:dyDescent="0.25">
      <c r="B114" s="28"/>
      <c r="C114" s="31"/>
      <c r="D114" s="31"/>
    </row>
    <row r="115" spans="2:4" x14ac:dyDescent="0.25">
      <c r="B115" s="28"/>
      <c r="C115" s="29"/>
      <c r="D115" s="29"/>
    </row>
    <row r="116" spans="2:4" x14ac:dyDescent="0.25">
      <c r="B116" s="28"/>
      <c r="C116" s="31"/>
      <c r="D116" s="31"/>
    </row>
    <row r="118" spans="2:4" x14ac:dyDescent="0.25">
      <c r="B118" s="36"/>
    </row>
    <row r="123" spans="2:4" x14ac:dyDescent="0.25">
      <c r="B123" s="28"/>
    </row>
  </sheetData>
  <mergeCells count="62">
    <mergeCell ref="B110:C110"/>
    <mergeCell ref="A111:C111"/>
    <mergeCell ref="B104:C104"/>
    <mergeCell ref="B105:C105"/>
    <mergeCell ref="B106:C106"/>
    <mergeCell ref="B107:C107"/>
    <mergeCell ref="B108:C108"/>
    <mergeCell ref="A109:C109"/>
    <mergeCell ref="A103:C103"/>
    <mergeCell ref="B82:C82"/>
    <mergeCell ref="B83:C83"/>
    <mergeCell ref="B84:C84"/>
    <mergeCell ref="B85:C85"/>
    <mergeCell ref="B86:C86"/>
    <mergeCell ref="A87:C87"/>
    <mergeCell ref="A88:C88"/>
    <mergeCell ref="A89:E89"/>
    <mergeCell ref="B90:C90"/>
    <mergeCell ref="A93:A100"/>
    <mergeCell ref="A102:C102"/>
    <mergeCell ref="A81:E81"/>
    <mergeCell ref="A60:C60"/>
    <mergeCell ref="A61:E61"/>
    <mergeCell ref="B62:C62"/>
    <mergeCell ref="A69:B69"/>
    <mergeCell ref="B71:C71"/>
    <mergeCell ref="A73:B73"/>
    <mergeCell ref="A74:E74"/>
    <mergeCell ref="A75:E75"/>
    <mergeCell ref="B76:C76"/>
    <mergeCell ref="A79:B79"/>
    <mergeCell ref="A80:C80"/>
    <mergeCell ref="B54:C54"/>
    <mergeCell ref="A25:C25"/>
    <mergeCell ref="B26:C26"/>
    <mergeCell ref="A29:B29"/>
    <mergeCell ref="A30:E30"/>
    <mergeCell ref="B31:C31"/>
    <mergeCell ref="A40:B40"/>
    <mergeCell ref="B41:C41"/>
    <mergeCell ref="A47:C47"/>
    <mergeCell ref="A48:E48"/>
    <mergeCell ref="A52:C52"/>
    <mergeCell ref="A53:E53"/>
    <mergeCell ref="A24:C24"/>
    <mergeCell ref="C6:E6"/>
    <mergeCell ref="A7:E7"/>
    <mergeCell ref="A8:E8"/>
    <mergeCell ref="A9:E9"/>
    <mergeCell ref="A10:C10"/>
    <mergeCell ref="C11:E11"/>
    <mergeCell ref="C12:E12"/>
    <mergeCell ref="C13:E13"/>
    <mergeCell ref="C14:E14"/>
    <mergeCell ref="A15:C15"/>
    <mergeCell ref="B16:C16"/>
    <mergeCell ref="D10:E10"/>
    <mergeCell ref="C5:E5"/>
    <mergeCell ref="A1:E1"/>
    <mergeCell ref="A2:E2"/>
    <mergeCell ref="C3:E3"/>
    <mergeCell ref="C4:E4"/>
  </mergeCells>
  <hyperlinks>
    <hyperlink ref="B39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view="pageBreakPreview" zoomScaleNormal="115" zoomScaleSheetLayoutView="100" workbookViewId="0">
      <selection activeCell="A6" sqref="A6"/>
    </sheetView>
  </sheetViews>
  <sheetFormatPr defaultColWidth="9.140625" defaultRowHeight="15.75" x14ac:dyDescent="0.25"/>
  <cols>
    <col min="1" max="1" width="4.42578125" style="29" bestFit="1" customWidth="1"/>
    <col min="2" max="2" width="72.7109375" style="31" customWidth="1"/>
    <col min="3" max="4" width="15.7109375" style="32" customWidth="1"/>
    <col min="5" max="5" width="15.7109375" style="37" customWidth="1"/>
    <col min="6" max="6" width="9.140625" style="28" customWidth="1"/>
    <col min="7" max="16384" width="9.140625" style="28"/>
  </cols>
  <sheetData>
    <row r="1" spans="1:5" x14ac:dyDescent="0.25">
      <c r="A1" s="340"/>
      <c r="B1" s="341"/>
      <c r="C1" s="341"/>
      <c r="D1" s="428"/>
      <c r="E1" s="342"/>
    </row>
    <row r="2" spans="1:5" s="38" customFormat="1" ht="16.5" customHeight="1" x14ac:dyDescent="0.25">
      <c r="A2" s="379" t="s">
        <v>132</v>
      </c>
      <c r="B2" s="380"/>
      <c r="C2" s="380"/>
      <c r="D2" s="429"/>
      <c r="E2" s="381"/>
    </row>
    <row r="3" spans="1:5" s="38" customFormat="1" ht="15.75" customHeight="1" x14ac:dyDescent="0.25">
      <c r="A3" s="40" t="s">
        <v>0</v>
      </c>
      <c r="B3" s="41" t="s">
        <v>1</v>
      </c>
      <c r="C3" s="343">
        <v>2024</v>
      </c>
      <c r="D3" s="343"/>
      <c r="E3" s="344"/>
    </row>
    <row r="4" spans="1:5" s="38" customFormat="1" ht="75" customHeight="1" x14ac:dyDescent="0.25">
      <c r="A4" s="40" t="s">
        <v>2</v>
      </c>
      <c r="B4" s="41" t="s">
        <v>140</v>
      </c>
      <c r="C4" s="345" t="s">
        <v>263</v>
      </c>
      <c r="D4" s="345"/>
      <c r="E4" s="346"/>
    </row>
    <row r="5" spans="1:5" s="38" customFormat="1" ht="15.75" customHeight="1" x14ac:dyDescent="0.25">
      <c r="A5" s="40" t="s">
        <v>3</v>
      </c>
      <c r="B5" s="41" t="s">
        <v>4</v>
      </c>
      <c r="C5" s="345" t="s">
        <v>271</v>
      </c>
      <c r="D5" s="345"/>
      <c r="E5" s="346"/>
    </row>
    <row r="6" spans="1:5" s="38" customFormat="1" x14ac:dyDescent="0.25">
      <c r="A6" s="40" t="s">
        <v>5</v>
      </c>
      <c r="B6" s="41" t="s">
        <v>143</v>
      </c>
      <c r="C6" s="345">
        <v>12</v>
      </c>
      <c r="D6" s="345"/>
      <c r="E6" s="346"/>
    </row>
    <row r="7" spans="1:5" s="38" customFormat="1" x14ac:dyDescent="0.25">
      <c r="A7" s="349" t="s">
        <v>6</v>
      </c>
      <c r="B7" s="350"/>
      <c r="C7" s="350"/>
      <c r="D7" s="430"/>
      <c r="E7" s="351"/>
    </row>
    <row r="8" spans="1:5" s="38" customFormat="1" x14ac:dyDescent="0.25">
      <c r="A8" s="349" t="s">
        <v>7</v>
      </c>
      <c r="B8" s="350"/>
      <c r="C8" s="350"/>
      <c r="D8" s="430"/>
      <c r="E8" s="351"/>
    </row>
    <row r="9" spans="1:5" s="38" customFormat="1" ht="15.75" customHeight="1" x14ac:dyDescent="0.25">
      <c r="A9" s="349" t="s">
        <v>8</v>
      </c>
      <c r="B9" s="350"/>
      <c r="C9" s="350"/>
      <c r="D9" s="430"/>
      <c r="E9" s="351"/>
    </row>
    <row r="10" spans="1:5" s="38" customFormat="1" ht="30" customHeight="1" x14ac:dyDescent="0.25">
      <c r="A10" s="352" t="s">
        <v>9</v>
      </c>
      <c r="B10" s="353"/>
      <c r="C10" s="353"/>
      <c r="D10" s="443" t="s">
        <v>10</v>
      </c>
      <c r="E10" s="444"/>
    </row>
    <row r="11" spans="1:5" s="38" customFormat="1" ht="60" customHeight="1" x14ac:dyDescent="0.25">
      <c r="A11" s="40">
        <v>1</v>
      </c>
      <c r="B11" s="42" t="s">
        <v>133</v>
      </c>
      <c r="C11" s="414" t="s">
        <v>264</v>
      </c>
      <c r="D11" s="414"/>
      <c r="E11" s="415"/>
    </row>
    <row r="12" spans="1:5" s="38" customFormat="1" ht="30" customHeight="1" x14ac:dyDescent="0.25">
      <c r="A12" s="40">
        <v>2</v>
      </c>
      <c r="B12" s="42" t="s">
        <v>11</v>
      </c>
      <c r="C12" s="386">
        <v>4750</v>
      </c>
      <c r="D12" s="431"/>
      <c r="E12" s="391"/>
    </row>
    <row r="13" spans="1:5" s="38" customFormat="1" ht="15.75" customHeight="1" x14ac:dyDescent="0.25">
      <c r="A13" s="40">
        <v>3</v>
      </c>
      <c r="B13" s="42" t="s">
        <v>12</v>
      </c>
      <c r="C13" s="414" t="s">
        <v>238</v>
      </c>
      <c r="D13" s="414"/>
      <c r="E13" s="415"/>
    </row>
    <row r="14" spans="1:5" s="38" customFormat="1" x14ac:dyDescent="0.25">
      <c r="A14" s="40">
        <v>4</v>
      </c>
      <c r="B14" s="43" t="s">
        <v>13</v>
      </c>
      <c r="C14" s="426"/>
      <c r="D14" s="442"/>
      <c r="E14" s="427"/>
    </row>
    <row r="15" spans="1:5" s="39" customFormat="1" ht="31.5" x14ac:dyDescent="0.25">
      <c r="A15" s="376" t="s">
        <v>14</v>
      </c>
      <c r="B15" s="377"/>
      <c r="C15" s="377"/>
      <c r="D15" s="168" t="s">
        <v>267</v>
      </c>
      <c r="E15" s="182" t="s">
        <v>269</v>
      </c>
    </row>
    <row r="16" spans="1:5" s="39" customFormat="1" x14ac:dyDescent="0.25">
      <c r="A16" s="280">
        <v>1</v>
      </c>
      <c r="B16" s="356" t="s">
        <v>15</v>
      </c>
      <c r="C16" s="356"/>
      <c r="D16" s="57" t="s">
        <v>10</v>
      </c>
      <c r="E16" s="129" t="s">
        <v>10</v>
      </c>
    </row>
    <row r="17" spans="1:5" s="38" customFormat="1" ht="15.75" customHeight="1" x14ac:dyDescent="0.25">
      <c r="A17" s="44" t="s">
        <v>0</v>
      </c>
      <c r="B17" s="45" t="s">
        <v>16</v>
      </c>
      <c r="C17" s="43"/>
      <c r="D17" s="75">
        <f>C12</f>
        <v>4750</v>
      </c>
      <c r="E17" s="123">
        <f>C12</f>
        <v>4750</v>
      </c>
    </row>
    <row r="18" spans="1:5" s="38" customFormat="1" ht="15.75" customHeight="1" x14ac:dyDescent="0.25">
      <c r="A18" s="44" t="s">
        <v>2</v>
      </c>
      <c r="B18" s="45" t="s">
        <v>17</v>
      </c>
      <c r="C18" s="76"/>
      <c r="D18" s="77"/>
      <c r="E18" s="130"/>
    </row>
    <row r="19" spans="1:5" s="38" customFormat="1" ht="15.75" customHeight="1" x14ac:dyDescent="0.25">
      <c r="A19" s="44" t="s">
        <v>3</v>
      </c>
      <c r="B19" s="45" t="s">
        <v>18</v>
      </c>
      <c r="C19" s="109" t="s">
        <v>243</v>
      </c>
      <c r="D19" s="77">
        <f>40%*1412</f>
        <v>564.79999999999995</v>
      </c>
      <c r="E19" s="130">
        <f>40%*1412</f>
        <v>564.79999999999995</v>
      </c>
    </row>
    <row r="20" spans="1:5" s="38" customFormat="1" ht="15.75" customHeight="1" x14ac:dyDescent="0.25">
      <c r="A20" s="44" t="s">
        <v>5</v>
      </c>
      <c r="B20" s="45" t="s">
        <v>19</v>
      </c>
      <c r="C20" s="76"/>
      <c r="D20" s="77">
        <f>((((D17+D19)/220)*20%)*8)*15</f>
        <v>579.79999999999995</v>
      </c>
      <c r="E20" s="130">
        <f>((((E17+E19)/220)*20%)*8)*15</f>
        <v>579.79999999999995</v>
      </c>
    </row>
    <row r="21" spans="1:5" s="38" customFormat="1" ht="15.75" customHeight="1" x14ac:dyDescent="0.25">
      <c r="A21" s="44" t="s">
        <v>20</v>
      </c>
      <c r="B21" s="45" t="s">
        <v>204</v>
      </c>
      <c r="C21" s="76"/>
      <c r="D21" s="77"/>
      <c r="E21" s="130"/>
    </row>
    <row r="22" spans="1:5" s="38" customFormat="1" x14ac:dyDescent="0.25">
      <c r="A22" s="44" t="s">
        <v>21</v>
      </c>
      <c r="B22" s="45" t="s">
        <v>138</v>
      </c>
      <c r="C22" s="48"/>
      <c r="D22" s="77"/>
      <c r="E22" s="130"/>
    </row>
    <row r="23" spans="1:5" s="38" customFormat="1" ht="15.75" customHeight="1" x14ac:dyDescent="0.25">
      <c r="A23" s="44" t="s">
        <v>22</v>
      </c>
      <c r="B23" s="46" t="s">
        <v>139</v>
      </c>
      <c r="C23" s="48"/>
      <c r="D23" s="77"/>
      <c r="E23" s="130"/>
    </row>
    <row r="24" spans="1:5" s="39" customFormat="1" ht="15.75" customHeight="1" x14ac:dyDescent="0.25">
      <c r="A24" s="367" t="s">
        <v>152</v>
      </c>
      <c r="B24" s="368"/>
      <c r="C24" s="368"/>
      <c r="D24" s="66">
        <f>SUM(D17:D23)</f>
        <v>5894.6</v>
      </c>
      <c r="E24" s="131">
        <f>SUM(E17:E23)</f>
        <v>5894.6</v>
      </c>
    </row>
    <row r="25" spans="1:5" s="39" customFormat="1" x14ac:dyDescent="0.25">
      <c r="A25" s="376" t="s">
        <v>51</v>
      </c>
      <c r="B25" s="377"/>
      <c r="C25" s="377"/>
      <c r="D25" s="445"/>
      <c r="E25" s="411"/>
    </row>
    <row r="26" spans="1:5" s="38" customFormat="1" x14ac:dyDescent="0.25">
      <c r="A26" s="273" t="s">
        <v>141</v>
      </c>
      <c r="B26" s="354" t="s">
        <v>205</v>
      </c>
      <c r="C26" s="382"/>
      <c r="D26" s="69" t="s">
        <v>10</v>
      </c>
      <c r="E26" s="133" t="s">
        <v>10</v>
      </c>
    </row>
    <row r="27" spans="1:5" s="38" customFormat="1" x14ac:dyDescent="0.25">
      <c r="A27" s="49" t="s">
        <v>0</v>
      </c>
      <c r="B27" s="50" t="s">
        <v>28</v>
      </c>
      <c r="C27" s="55">
        <f>1/12</f>
        <v>8.3299999999999999E-2</v>
      </c>
      <c r="D27" s="78">
        <f>(D24)*C27</f>
        <v>491.02</v>
      </c>
      <c r="E27" s="125">
        <f>(E24)*C27</f>
        <v>491.02</v>
      </c>
    </row>
    <row r="28" spans="1:5" s="38" customFormat="1" x14ac:dyDescent="0.25">
      <c r="A28" s="49" t="s">
        <v>2</v>
      </c>
      <c r="B28" s="50" t="s">
        <v>148</v>
      </c>
      <c r="C28" s="55">
        <v>0.1111</v>
      </c>
      <c r="D28" s="78">
        <f>(D24)*C28</f>
        <v>654.89</v>
      </c>
      <c r="E28" s="125">
        <f>(E24)*C28</f>
        <v>654.89</v>
      </c>
    </row>
    <row r="29" spans="1:5" x14ac:dyDescent="0.25">
      <c r="A29" s="358" t="s">
        <v>27</v>
      </c>
      <c r="B29" s="359"/>
      <c r="C29" s="92">
        <f>SUM(C27:C28)</f>
        <v>0.19439999999999999</v>
      </c>
      <c r="D29" s="80">
        <f>SUM(D27:D28)</f>
        <v>1145.9100000000001</v>
      </c>
      <c r="E29" s="126">
        <f>SUM(E27:E28)</f>
        <v>1145.9100000000001</v>
      </c>
    </row>
    <row r="30" spans="1:5" ht="32.25" customHeight="1" x14ac:dyDescent="0.25">
      <c r="A30" s="362" t="s">
        <v>190</v>
      </c>
      <c r="B30" s="363"/>
      <c r="C30" s="363"/>
      <c r="D30" s="434"/>
      <c r="E30" s="364"/>
    </row>
    <row r="31" spans="1:5" x14ac:dyDescent="0.25">
      <c r="A31" s="270" t="s">
        <v>141</v>
      </c>
      <c r="B31" s="360" t="s">
        <v>25</v>
      </c>
      <c r="C31" s="361"/>
      <c r="D31" s="70" t="s">
        <v>10</v>
      </c>
      <c r="E31" s="132" t="s">
        <v>10</v>
      </c>
    </row>
    <row r="32" spans="1:5" x14ac:dyDescent="0.25">
      <c r="A32" s="49" t="s">
        <v>0</v>
      </c>
      <c r="B32" s="81" t="s">
        <v>207</v>
      </c>
      <c r="C32" s="55">
        <v>0.2</v>
      </c>
      <c r="D32" s="78">
        <f t="shared" ref="D32:D39" si="0">($E$24+D$29)*C32</f>
        <v>1408.1</v>
      </c>
      <c r="E32" s="125">
        <f t="shared" ref="E32:E39" si="1">($E$24+E$29)*C32</f>
        <v>1408.1</v>
      </c>
    </row>
    <row r="33" spans="1:5" x14ac:dyDescent="0.25">
      <c r="A33" s="49" t="s">
        <v>2</v>
      </c>
      <c r="B33" s="81" t="s">
        <v>208</v>
      </c>
      <c r="C33" s="82">
        <v>1.4999999999999999E-2</v>
      </c>
      <c r="D33" s="78">
        <f t="shared" si="0"/>
        <v>105.61</v>
      </c>
      <c r="E33" s="125">
        <f t="shared" si="1"/>
        <v>105.61</v>
      </c>
    </row>
    <row r="34" spans="1:5" x14ac:dyDescent="0.25">
      <c r="A34" s="49" t="s">
        <v>3</v>
      </c>
      <c r="B34" s="81" t="s">
        <v>209</v>
      </c>
      <c r="C34" s="82">
        <v>0.01</v>
      </c>
      <c r="D34" s="78">
        <f t="shared" si="0"/>
        <v>70.41</v>
      </c>
      <c r="E34" s="125">
        <f t="shared" si="1"/>
        <v>70.41</v>
      </c>
    </row>
    <row r="35" spans="1:5" ht="31.5" x14ac:dyDescent="0.25">
      <c r="A35" s="49" t="s">
        <v>5</v>
      </c>
      <c r="B35" s="269" t="s">
        <v>210</v>
      </c>
      <c r="C35" s="82">
        <v>2E-3</v>
      </c>
      <c r="D35" s="78">
        <f t="shared" si="0"/>
        <v>14.08</v>
      </c>
      <c r="E35" s="125">
        <f t="shared" si="1"/>
        <v>14.08</v>
      </c>
    </row>
    <row r="36" spans="1:5" x14ac:dyDescent="0.25">
      <c r="A36" s="49" t="s">
        <v>20</v>
      </c>
      <c r="B36" s="81" t="s">
        <v>211</v>
      </c>
      <c r="C36" s="82">
        <v>2.5000000000000001E-2</v>
      </c>
      <c r="D36" s="78">
        <f t="shared" si="0"/>
        <v>176.01</v>
      </c>
      <c r="E36" s="125">
        <f t="shared" si="1"/>
        <v>176.01</v>
      </c>
    </row>
    <row r="37" spans="1:5" x14ac:dyDescent="0.25">
      <c r="A37" s="49" t="s">
        <v>21</v>
      </c>
      <c r="B37" s="108" t="s">
        <v>212</v>
      </c>
      <c r="C37" s="82">
        <v>0.08</v>
      </c>
      <c r="D37" s="78">
        <f t="shared" si="0"/>
        <v>563.24</v>
      </c>
      <c r="E37" s="125">
        <f t="shared" si="1"/>
        <v>563.24</v>
      </c>
    </row>
    <row r="38" spans="1:5" ht="47.25" x14ac:dyDescent="0.25">
      <c r="A38" s="49" t="s">
        <v>22</v>
      </c>
      <c r="B38" s="269" t="s">
        <v>213</v>
      </c>
      <c r="C38" s="82">
        <v>0.03</v>
      </c>
      <c r="D38" s="78">
        <f t="shared" si="0"/>
        <v>211.22</v>
      </c>
      <c r="E38" s="125">
        <f t="shared" si="1"/>
        <v>211.22</v>
      </c>
    </row>
    <row r="39" spans="1:5" x14ac:dyDescent="0.25">
      <c r="A39" s="49" t="s">
        <v>26</v>
      </c>
      <c r="B39" s="107" t="s">
        <v>214</v>
      </c>
      <c r="C39" s="82">
        <v>6.0000000000000001E-3</v>
      </c>
      <c r="D39" s="78">
        <f t="shared" si="0"/>
        <v>42.24</v>
      </c>
      <c r="E39" s="125">
        <f t="shared" si="1"/>
        <v>42.24</v>
      </c>
    </row>
    <row r="40" spans="1:5" s="30" customFormat="1" x14ac:dyDescent="0.25">
      <c r="A40" s="358" t="s">
        <v>27</v>
      </c>
      <c r="B40" s="359"/>
      <c r="C40" s="56">
        <f>SUM(C32:C39)</f>
        <v>0.36799999999999999</v>
      </c>
      <c r="D40" s="80">
        <f>SUM(D32:D39)</f>
        <v>2590.91</v>
      </c>
      <c r="E40" s="126">
        <f>SUM(E32:E39)</f>
        <v>2590.91</v>
      </c>
    </row>
    <row r="41" spans="1:5" s="30" customFormat="1" x14ac:dyDescent="0.25">
      <c r="A41" s="370" t="s">
        <v>173</v>
      </c>
      <c r="B41" s="371"/>
      <c r="C41" s="371"/>
      <c r="D41" s="435"/>
      <c r="E41" s="412"/>
    </row>
    <row r="42" spans="1:5" s="30" customFormat="1" x14ac:dyDescent="0.25">
      <c r="A42" s="74" t="s">
        <v>216</v>
      </c>
      <c r="B42" s="374" t="s">
        <v>217</v>
      </c>
      <c r="C42" s="375"/>
      <c r="D42" s="204"/>
      <c r="E42" s="281"/>
    </row>
    <row r="43" spans="1:5" s="30" customFormat="1" x14ac:dyDescent="0.25">
      <c r="A43" s="91" t="s">
        <v>0</v>
      </c>
      <c r="B43" s="53" t="s">
        <v>144</v>
      </c>
      <c r="C43" s="106"/>
      <c r="D43" s="102">
        <v>0</v>
      </c>
      <c r="E43" s="164">
        <v>0</v>
      </c>
    </row>
    <row r="44" spans="1:5" s="30" customFormat="1" x14ac:dyDescent="0.25">
      <c r="A44" s="47" t="s">
        <v>2</v>
      </c>
      <c r="B44" s="46" t="s">
        <v>191</v>
      </c>
      <c r="C44" s="73"/>
      <c r="D44" s="75">
        <v>0</v>
      </c>
      <c r="E44" s="123">
        <v>0</v>
      </c>
    </row>
    <row r="45" spans="1:5" s="30" customFormat="1" x14ac:dyDescent="0.25">
      <c r="A45" s="49" t="s">
        <v>3</v>
      </c>
      <c r="B45" s="50" t="s">
        <v>134</v>
      </c>
      <c r="C45" s="67"/>
      <c r="D45" s="85">
        <v>0</v>
      </c>
      <c r="E45" s="124">
        <v>0</v>
      </c>
    </row>
    <row r="46" spans="1:5" s="30" customFormat="1" x14ac:dyDescent="0.25">
      <c r="A46" s="49" t="s">
        <v>5</v>
      </c>
      <c r="B46" s="50" t="s">
        <v>135</v>
      </c>
      <c r="C46" s="55"/>
      <c r="D46" s="85">
        <f>(D17*C46*0.0199*2)/12</f>
        <v>0</v>
      </c>
      <c r="E46" s="124">
        <f>(E17*C46*0.0199*2)/12</f>
        <v>0</v>
      </c>
    </row>
    <row r="47" spans="1:5" s="30" customFormat="1" x14ac:dyDescent="0.25">
      <c r="A47" s="49" t="s">
        <v>20</v>
      </c>
      <c r="B47" s="50" t="s">
        <v>136</v>
      </c>
      <c r="C47" s="67"/>
      <c r="D47" s="78">
        <v>0</v>
      </c>
      <c r="E47" s="125">
        <v>0</v>
      </c>
    </row>
    <row r="48" spans="1:5" s="30" customFormat="1" ht="15.75" customHeight="1" x14ac:dyDescent="0.25">
      <c r="A48" s="358" t="s">
        <v>23</v>
      </c>
      <c r="B48" s="359"/>
      <c r="C48" s="359"/>
      <c r="D48" s="80">
        <f>SUM(D43:D47)</f>
        <v>0</v>
      </c>
      <c r="E48" s="126">
        <f>SUM(E43:E47)</f>
        <v>0</v>
      </c>
    </row>
    <row r="49" spans="1:5" s="30" customFormat="1" ht="15.75" customHeight="1" x14ac:dyDescent="0.25">
      <c r="A49" s="370" t="s">
        <v>224</v>
      </c>
      <c r="B49" s="371"/>
      <c r="C49" s="371"/>
      <c r="D49" s="435"/>
      <c r="E49" s="412"/>
    </row>
    <row r="50" spans="1:5" s="30" customFormat="1" ht="15.75" customHeight="1" x14ac:dyDescent="0.25">
      <c r="A50" s="280" t="s">
        <v>141</v>
      </c>
      <c r="B50" s="103" t="s">
        <v>145</v>
      </c>
      <c r="C50" s="277"/>
      <c r="D50" s="65">
        <f>D29</f>
        <v>1145.9100000000001</v>
      </c>
      <c r="E50" s="134">
        <f>E29</f>
        <v>1145.9100000000001</v>
      </c>
    </row>
    <row r="51" spans="1:5" s="30" customFormat="1" ht="15.75" customHeight="1" x14ac:dyDescent="0.25">
      <c r="A51" s="280" t="s">
        <v>215</v>
      </c>
      <c r="B51" s="103" t="s">
        <v>146</v>
      </c>
      <c r="C51" s="277"/>
      <c r="D51" s="65">
        <f>D40</f>
        <v>2590.91</v>
      </c>
      <c r="E51" s="134">
        <f>E40</f>
        <v>2590.91</v>
      </c>
    </row>
    <row r="52" spans="1:5" s="30" customFormat="1" ht="15.75" customHeight="1" x14ac:dyDescent="0.25">
      <c r="A52" s="280" t="s">
        <v>216</v>
      </c>
      <c r="B52" s="103" t="s">
        <v>147</v>
      </c>
      <c r="C52" s="277"/>
      <c r="D52" s="65">
        <f>D48</f>
        <v>0</v>
      </c>
      <c r="E52" s="134">
        <f>E48</f>
        <v>0</v>
      </c>
    </row>
    <row r="53" spans="1:5" s="30" customFormat="1" ht="15.75" customHeight="1" x14ac:dyDescent="0.25">
      <c r="A53" s="367" t="s">
        <v>153</v>
      </c>
      <c r="B53" s="368"/>
      <c r="C53" s="368"/>
      <c r="D53" s="66">
        <f>SUM(D50:D52)</f>
        <v>3736.82</v>
      </c>
      <c r="E53" s="131">
        <f>SUM(E50:E52)</f>
        <v>3736.82</v>
      </c>
    </row>
    <row r="54" spans="1:5" s="30" customFormat="1" ht="15.75" customHeight="1" x14ac:dyDescent="0.25">
      <c r="A54" s="376" t="s">
        <v>162</v>
      </c>
      <c r="B54" s="377"/>
      <c r="C54" s="377"/>
      <c r="D54" s="445"/>
      <c r="E54" s="411"/>
    </row>
    <row r="55" spans="1:5" s="30" customFormat="1" ht="15.75" customHeight="1" x14ac:dyDescent="0.25">
      <c r="A55" s="273" t="s">
        <v>200</v>
      </c>
      <c r="B55" s="354" t="s">
        <v>32</v>
      </c>
      <c r="C55" s="355"/>
      <c r="D55" s="69" t="s">
        <v>10</v>
      </c>
      <c r="E55" s="133" t="s">
        <v>10</v>
      </c>
    </row>
    <row r="56" spans="1:5" s="30" customFormat="1" ht="15.75" customHeight="1" x14ac:dyDescent="0.25">
      <c r="A56" s="49" t="s">
        <v>0</v>
      </c>
      <c r="B56" s="50" t="s">
        <v>33</v>
      </c>
      <c r="C56" s="55">
        <v>4.5999999999999999E-3</v>
      </c>
      <c r="D56" s="78">
        <f>D$24*C56</f>
        <v>27.12</v>
      </c>
      <c r="E56" s="125">
        <f>E$24*C56</f>
        <v>27.12</v>
      </c>
    </row>
    <row r="57" spans="1:5" s="30" customFormat="1" ht="15.75" customHeight="1" x14ac:dyDescent="0.25">
      <c r="A57" s="49" t="s">
        <v>2</v>
      </c>
      <c r="B57" s="50" t="s">
        <v>34</v>
      </c>
      <c r="C57" s="55">
        <v>4.0000000000000002E-4</v>
      </c>
      <c r="D57" s="78">
        <f>D$24*C57</f>
        <v>2.36</v>
      </c>
      <c r="E57" s="125">
        <f>E$24*C57</f>
        <v>2.36</v>
      </c>
    </row>
    <row r="58" spans="1:5" s="30" customFormat="1" ht="15.75" customHeight="1" x14ac:dyDescent="0.25">
      <c r="A58" s="49" t="s">
        <v>3</v>
      </c>
      <c r="B58" s="52" t="s">
        <v>35</v>
      </c>
      <c r="C58" s="55">
        <v>1.9400000000000001E-2</v>
      </c>
      <c r="D58" s="78">
        <f>D$24*C58</f>
        <v>114.36</v>
      </c>
      <c r="E58" s="125">
        <f>E$24*C58</f>
        <v>114.36</v>
      </c>
    </row>
    <row r="59" spans="1:5" s="30" customFormat="1" ht="30.75" customHeight="1" x14ac:dyDescent="0.25">
      <c r="A59" s="49" t="s">
        <v>5</v>
      </c>
      <c r="B59" s="50" t="s">
        <v>174</v>
      </c>
      <c r="C59" s="55">
        <v>7.1000000000000004E-3</v>
      </c>
      <c r="D59" s="78">
        <f>D$24*C59</f>
        <v>41.85</v>
      </c>
      <c r="E59" s="125">
        <f>E$24*C59</f>
        <v>41.85</v>
      </c>
    </row>
    <row r="60" spans="1:5" s="30" customFormat="1" ht="15.75" customHeight="1" x14ac:dyDescent="0.25">
      <c r="A60" s="49" t="s">
        <v>20</v>
      </c>
      <c r="B60" s="50" t="s">
        <v>149</v>
      </c>
      <c r="C60" s="55">
        <v>0.04</v>
      </c>
      <c r="D60" s="78">
        <f>D$24*C60</f>
        <v>235.78</v>
      </c>
      <c r="E60" s="125">
        <f>E$24*C60</f>
        <v>235.78</v>
      </c>
    </row>
    <row r="61" spans="1:5" s="30" customFormat="1" x14ac:dyDescent="0.25">
      <c r="A61" s="367" t="s">
        <v>154</v>
      </c>
      <c r="B61" s="368"/>
      <c r="C61" s="368"/>
      <c r="D61" s="66">
        <f>SUM(D56:D60)</f>
        <v>421.47</v>
      </c>
      <c r="E61" s="131">
        <f>SUM(E56:E60)</f>
        <v>421.47</v>
      </c>
    </row>
    <row r="62" spans="1:5" s="30" customFormat="1" x14ac:dyDescent="0.25">
      <c r="A62" s="376" t="s">
        <v>163</v>
      </c>
      <c r="B62" s="377"/>
      <c r="C62" s="377"/>
      <c r="D62" s="445"/>
      <c r="E62" s="411"/>
    </row>
    <row r="63" spans="1:5" s="30" customFormat="1" x14ac:dyDescent="0.25">
      <c r="A63" s="273" t="s">
        <v>199</v>
      </c>
      <c r="B63" s="369" t="s">
        <v>198</v>
      </c>
      <c r="C63" s="369"/>
      <c r="D63" s="69" t="s">
        <v>10</v>
      </c>
      <c r="E63" s="133" t="s">
        <v>10</v>
      </c>
    </row>
    <row r="64" spans="1:5" s="30" customFormat="1" x14ac:dyDescent="0.25">
      <c r="A64" s="49" t="s">
        <v>0</v>
      </c>
      <c r="B64" s="50" t="s">
        <v>192</v>
      </c>
      <c r="C64" s="55">
        <v>9.2999999999999992E-3</v>
      </c>
      <c r="D64" s="78">
        <f t="shared" ref="D64:D69" si="2">(D$24+D$53+D$61+D$84)*C64</f>
        <v>93.83</v>
      </c>
      <c r="E64" s="125">
        <f t="shared" ref="E64:E69" si="3">(E$24+E$53+E$61+E$84)*C64</f>
        <v>93.83</v>
      </c>
    </row>
    <row r="65" spans="1:5" s="30" customFormat="1" x14ac:dyDescent="0.25">
      <c r="A65" s="49" t="s">
        <v>2</v>
      </c>
      <c r="B65" s="50" t="s">
        <v>193</v>
      </c>
      <c r="C65" s="55">
        <v>1.66E-2</v>
      </c>
      <c r="D65" s="78">
        <f t="shared" si="2"/>
        <v>167.49</v>
      </c>
      <c r="E65" s="125">
        <f t="shared" si="3"/>
        <v>167.49</v>
      </c>
    </row>
    <row r="66" spans="1:5" s="30" customFormat="1" x14ac:dyDescent="0.25">
      <c r="A66" s="49" t="s">
        <v>3</v>
      </c>
      <c r="B66" s="50" t="s">
        <v>194</v>
      </c>
      <c r="C66" s="55">
        <v>2.0000000000000001E-4</v>
      </c>
      <c r="D66" s="78">
        <f t="shared" si="2"/>
        <v>2.02</v>
      </c>
      <c r="E66" s="125">
        <f t="shared" si="3"/>
        <v>2.02</v>
      </c>
    </row>
    <row r="67" spans="1:5" s="30" customFormat="1" x14ac:dyDescent="0.25">
      <c r="A67" s="49" t="s">
        <v>5</v>
      </c>
      <c r="B67" s="50" t="s">
        <v>195</v>
      </c>
      <c r="C67" s="55">
        <v>2.7000000000000001E-3</v>
      </c>
      <c r="D67" s="78">
        <f t="shared" si="2"/>
        <v>27.24</v>
      </c>
      <c r="E67" s="125">
        <f t="shared" si="3"/>
        <v>27.24</v>
      </c>
    </row>
    <row r="68" spans="1:5" s="30" customFormat="1" x14ac:dyDescent="0.25">
      <c r="A68" s="49" t="s">
        <v>20</v>
      </c>
      <c r="B68" s="50" t="s">
        <v>196</v>
      </c>
      <c r="C68" s="55">
        <v>2.9999999999999997E-4</v>
      </c>
      <c r="D68" s="78">
        <f t="shared" si="2"/>
        <v>3.03</v>
      </c>
      <c r="E68" s="125">
        <f t="shared" si="3"/>
        <v>3.03</v>
      </c>
    </row>
    <row r="69" spans="1:5" s="30" customFormat="1" ht="15.75" customHeight="1" x14ac:dyDescent="0.25">
      <c r="A69" s="49" t="s">
        <v>21</v>
      </c>
      <c r="B69" s="276" t="s">
        <v>197</v>
      </c>
      <c r="C69" s="55">
        <v>0</v>
      </c>
      <c r="D69" s="78">
        <f t="shared" si="2"/>
        <v>0</v>
      </c>
      <c r="E69" s="125">
        <f t="shared" si="3"/>
        <v>0</v>
      </c>
    </row>
    <row r="70" spans="1:5" s="30" customFormat="1" x14ac:dyDescent="0.25">
      <c r="A70" s="358" t="s">
        <v>29</v>
      </c>
      <c r="B70" s="359"/>
      <c r="C70" s="56">
        <f>SUM(C64:C69)</f>
        <v>2.9100000000000001E-2</v>
      </c>
      <c r="D70" s="80">
        <f>SUM(D64:D69)</f>
        <v>293.61</v>
      </c>
      <c r="E70" s="126">
        <f>SUM(E64:E69)</f>
        <v>293.61</v>
      </c>
    </row>
    <row r="71" spans="1:5" s="30" customFormat="1" x14ac:dyDescent="0.25">
      <c r="A71" s="280"/>
      <c r="B71" s="277"/>
      <c r="C71" s="72"/>
      <c r="D71" s="205"/>
      <c r="E71" s="59"/>
    </row>
    <row r="72" spans="1:5" s="30" customFormat="1" x14ac:dyDescent="0.25">
      <c r="A72" s="280"/>
      <c r="B72" s="356" t="s">
        <v>201</v>
      </c>
      <c r="C72" s="357"/>
      <c r="D72" s="69" t="s">
        <v>10</v>
      </c>
      <c r="E72" s="133" t="s">
        <v>10</v>
      </c>
    </row>
    <row r="73" spans="1:5" s="30" customFormat="1" x14ac:dyDescent="0.25">
      <c r="A73" s="49" t="s">
        <v>0</v>
      </c>
      <c r="B73" s="50" t="s">
        <v>202</v>
      </c>
      <c r="C73" s="55">
        <v>0</v>
      </c>
      <c r="D73" s="78">
        <f>(D$24+D$53+D$61)*C73</f>
        <v>0</v>
      </c>
      <c r="E73" s="125">
        <f>(E$24+E$53+E$61)*C73</f>
        <v>0</v>
      </c>
    </row>
    <row r="74" spans="1:5" s="30" customFormat="1" ht="15.75" customHeight="1" x14ac:dyDescent="0.25">
      <c r="A74" s="358" t="s">
        <v>27</v>
      </c>
      <c r="B74" s="359"/>
      <c r="C74" s="94">
        <f>C73</f>
        <v>0</v>
      </c>
      <c r="D74" s="80">
        <f>D73</f>
        <v>0</v>
      </c>
      <c r="E74" s="126">
        <f>E73</f>
        <v>0</v>
      </c>
    </row>
    <row r="75" spans="1:5" s="30" customFormat="1" ht="15.75" customHeight="1" x14ac:dyDescent="0.25">
      <c r="A75" s="370" t="s">
        <v>30</v>
      </c>
      <c r="B75" s="371"/>
      <c r="C75" s="371"/>
      <c r="D75" s="435"/>
      <c r="E75" s="412"/>
    </row>
    <row r="76" spans="1:5" s="30" customFormat="1" ht="15.75" customHeight="1" x14ac:dyDescent="0.25">
      <c r="A76" s="405" t="s">
        <v>203</v>
      </c>
      <c r="B76" s="406"/>
      <c r="C76" s="406"/>
      <c r="D76" s="446"/>
      <c r="E76" s="413"/>
    </row>
    <row r="77" spans="1:5" s="30" customFormat="1" ht="15.75" customHeight="1" x14ac:dyDescent="0.25">
      <c r="A77" s="273">
        <v>4</v>
      </c>
      <c r="B77" s="354" t="s">
        <v>31</v>
      </c>
      <c r="C77" s="355"/>
      <c r="D77" s="69" t="s">
        <v>10</v>
      </c>
      <c r="E77" s="133" t="s">
        <v>10</v>
      </c>
    </row>
    <row r="78" spans="1:5" s="30" customFormat="1" ht="15.75" customHeight="1" x14ac:dyDescent="0.25">
      <c r="A78" s="49" t="s">
        <v>199</v>
      </c>
      <c r="B78" s="276" t="s">
        <v>198</v>
      </c>
      <c r="C78" s="55">
        <v>2.9899999999999999E-2</v>
      </c>
      <c r="D78" s="78">
        <f>D70</f>
        <v>293.61</v>
      </c>
      <c r="E78" s="125">
        <f>E70</f>
        <v>293.61</v>
      </c>
    </row>
    <row r="79" spans="1:5" s="30" customFormat="1" ht="15.75" customHeight="1" x14ac:dyDescent="0.25">
      <c r="A79" s="49" t="s">
        <v>221</v>
      </c>
      <c r="B79" s="276" t="s">
        <v>201</v>
      </c>
      <c r="C79" s="55">
        <v>0</v>
      </c>
      <c r="D79" s="78">
        <f>(D$24+D$53+D$61)*C79</f>
        <v>0</v>
      </c>
      <c r="E79" s="125">
        <f>(E$24+E$53+E$61)*C79</f>
        <v>0</v>
      </c>
    </row>
    <row r="80" spans="1:5" s="30" customFormat="1" ht="15.75" customHeight="1" x14ac:dyDescent="0.25">
      <c r="A80" s="358" t="s">
        <v>27</v>
      </c>
      <c r="B80" s="359"/>
      <c r="C80" s="92">
        <f>SUM(C78:C79)</f>
        <v>2.9899999999999999E-2</v>
      </c>
      <c r="D80" s="80">
        <f>SUM(D78:D79)</f>
        <v>293.61</v>
      </c>
      <c r="E80" s="126">
        <f>SUM(E78:E79)</f>
        <v>293.61</v>
      </c>
    </row>
    <row r="81" spans="1:5" s="30" customFormat="1" ht="15.75" customHeight="1" x14ac:dyDescent="0.25">
      <c r="A81" s="367" t="s">
        <v>155</v>
      </c>
      <c r="B81" s="368"/>
      <c r="C81" s="368"/>
      <c r="D81" s="66">
        <f>SUM(D74+D80)</f>
        <v>293.61</v>
      </c>
      <c r="E81" s="131">
        <f>SUM(E74+E80)</f>
        <v>293.61</v>
      </c>
    </row>
    <row r="82" spans="1:5" s="30" customFormat="1" ht="15.75" customHeight="1" x14ac:dyDescent="0.25">
      <c r="A82" s="376" t="s">
        <v>164</v>
      </c>
      <c r="B82" s="377"/>
      <c r="C82" s="377"/>
      <c r="D82" s="445"/>
      <c r="E82" s="411"/>
    </row>
    <row r="83" spans="1:5" s="30" customFormat="1" ht="15.75" customHeight="1" x14ac:dyDescent="0.25">
      <c r="A83" s="273">
        <v>5</v>
      </c>
      <c r="B83" s="354" t="s">
        <v>24</v>
      </c>
      <c r="C83" s="355"/>
      <c r="D83" s="69" t="s">
        <v>10</v>
      </c>
      <c r="E83" s="133" t="s">
        <v>10</v>
      </c>
    </row>
    <row r="84" spans="1:5" s="30" customFormat="1" ht="15.75" customHeight="1" x14ac:dyDescent="0.25">
      <c r="A84" s="47" t="s">
        <v>0</v>
      </c>
      <c r="B84" s="401" t="s">
        <v>222</v>
      </c>
      <c r="C84" s="401"/>
      <c r="D84" s="78">
        <f>Uniformes!H7</f>
        <v>36.619999999999997</v>
      </c>
      <c r="E84" s="125">
        <f>Uniformes!H7</f>
        <v>36.619999999999997</v>
      </c>
    </row>
    <row r="85" spans="1:5" s="30" customFormat="1" ht="15.75" customHeight="1" x14ac:dyDescent="0.25">
      <c r="A85" s="47" t="s">
        <v>2</v>
      </c>
      <c r="B85" s="401" t="s">
        <v>223</v>
      </c>
      <c r="C85" s="401"/>
      <c r="D85" s="78">
        <f>Materiais!H20</f>
        <v>44.57</v>
      </c>
      <c r="E85" s="125">
        <f>Materiais!H21</f>
        <v>44.57</v>
      </c>
    </row>
    <row r="86" spans="1:5" s="30" customFormat="1" ht="15.75" customHeight="1" x14ac:dyDescent="0.25">
      <c r="A86" s="47" t="s">
        <v>3</v>
      </c>
      <c r="B86" s="401" t="s">
        <v>187</v>
      </c>
      <c r="C86" s="401"/>
      <c r="D86" s="78">
        <f>Equipamentos!H21</f>
        <v>922.4</v>
      </c>
      <c r="E86" s="125">
        <f>Equipamentos!H22</f>
        <v>922.4</v>
      </c>
    </row>
    <row r="87" spans="1:5" s="30" customFormat="1" ht="15.75" customHeight="1" x14ac:dyDescent="0.25">
      <c r="A87" s="47" t="s">
        <v>5</v>
      </c>
      <c r="B87" s="401" t="s">
        <v>137</v>
      </c>
      <c r="C87" s="401"/>
      <c r="D87" s="78">
        <v>0</v>
      </c>
      <c r="E87" s="125">
        <v>0</v>
      </c>
    </row>
    <row r="88" spans="1:5" s="30" customFormat="1" ht="15.75" customHeight="1" x14ac:dyDescent="0.25">
      <c r="A88" s="367" t="s">
        <v>156</v>
      </c>
      <c r="B88" s="368"/>
      <c r="C88" s="368"/>
      <c r="D88" s="66">
        <f>SUM(D84:D87)</f>
        <v>1003.59</v>
      </c>
      <c r="E88" s="131">
        <f>SUM(E84:E87)</f>
        <v>1003.59</v>
      </c>
    </row>
    <row r="89" spans="1:5" s="30" customFormat="1" ht="30" customHeight="1" x14ac:dyDescent="0.25">
      <c r="A89" s="365" t="s">
        <v>225</v>
      </c>
      <c r="B89" s="366"/>
      <c r="C89" s="366"/>
      <c r="D89" s="161">
        <f>D88+D81+D61+D53+D24</f>
        <v>11350.09</v>
      </c>
      <c r="E89" s="135">
        <f>E88+E81+E61+E53+E24</f>
        <v>11350.09</v>
      </c>
    </row>
    <row r="90" spans="1:5" s="30" customFormat="1" ht="19.5" customHeight="1" x14ac:dyDescent="0.25">
      <c r="A90" s="376" t="s">
        <v>165</v>
      </c>
      <c r="B90" s="377"/>
      <c r="C90" s="377"/>
      <c r="D90" s="445"/>
      <c r="E90" s="411"/>
    </row>
    <row r="91" spans="1:5" s="30" customFormat="1" x14ac:dyDescent="0.25">
      <c r="A91" s="273">
        <v>6</v>
      </c>
      <c r="B91" s="354" t="s">
        <v>38</v>
      </c>
      <c r="C91" s="382"/>
      <c r="D91" s="69" t="s">
        <v>10</v>
      </c>
      <c r="E91" s="133" t="s">
        <v>10</v>
      </c>
    </row>
    <row r="92" spans="1:5" s="30" customFormat="1" x14ac:dyDescent="0.25">
      <c r="A92" s="273" t="s">
        <v>0</v>
      </c>
      <c r="B92" s="50" t="s">
        <v>39</v>
      </c>
      <c r="C92" s="55">
        <v>0.03</v>
      </c>
      <c r="D92" s="78">
        <f>+D89*C92</f>
        <v>340.5</v>
      </c>
      <c r="E92" s="125">
        <f>+E89*C92</f>
        <v>340.5</v>
      </c>
    </row>
    <row r="93" spans="1:5" s="30" customFormat="1" x14ac:dyDescent="0.25">
      <c r="A93" s="273" t="s">
        <v>2</v>
      </c>
      <c r="B93" s="50" t="s">
        <v>40</v>
      </c>
      <c r="C93" s="55">
        <v>6.7900000000000002E-2</v>
      </c>
      <c r="D93" s="78">
        <f>C93*(+D89+D92)</f>
        <v>793.79</v>
      </c>
      <c r="E93" s="125">
        <f>C93*(+E89+E92)</f>
        <v>793.79</v>
      </c>
    </row>
    <row r="94" spans="1:5" s="30" customFormat="1" ht="31.5" x14ac:dyDescent="0.25">
      <c r="A94" s="396" t="s">
        <v>3</v>
      </c>
      <c r="B94" s="50" t="s">
        <v>50</v>
      </c>
      <c r="C94" s="55">
        <f>1-C102</f>
        <v>0.85750000000000004</v>
      </c>
      <c r="D94" s="78">
        <f>+D89+D92+D93</f>
        <v>12484.38</v>
      </c>
      <c r="E94" s="125">
        <f>+E89+E92+E93</f>
        <v>12484.38</v>
      </c>
    </row>
    <row r="95" spans="1:5" s="30" customFormat="1" x14ac:dyDescent="0.25">
      <c r="A95" s="396"/>
      <c r="B95" s="276" t="s">
        <v>41</v>
      </c>
      <c r="C95" s="89"/>
      <c r="D95" s="162">
        <f>+D94/C94</f>
        <v>14559.04</v>
      </c>
      <c r="E95" s="136">
        <f>+E94/C94</f>
        <v>14559.04</v>
      </c>
    </row>
    <row r="96" spans="1:5" s="30" customFormat="1" x14ac:dyDescent="0.25">
      <c r="A96" s="396"/>
      <c r="B96" s="276" t="s">
        <v>42</v>
      </c>
      <c r="C96" s="68"/>
      <c r="D96" s="78"/>
      <c r="E96" s="125"/>
    </row>
    <row r="97" spans="1:5" s="30" customFormat="1" x14ac:dyDescent="0.25">
      <c r="A97" s="396"/>
      <c r="B97" s="50" t="s">
        <v>130</v>
      </c>
      <c r="C97" s="55">
        <v>1.6500000000000001E-2</v>
      </c>
      <c r="D97" s="78">
        <f>+D95*C97</f>
        <v>240.22</v>
      </c>
      <c r="E97" s="125">
        <f>+E95*C97</f>
        <v>240.22</v>
      </c>
    </row>
    <row r="98" spans="1:5" s="30" customFormat="1" x14ac:dyDescent="0.25">
      <c r="A98" s="396"/>
      <c r="B98" s="50" t="s">
        <v>131</v>
      </c>
      <c r="C98" s="55">
        <v>7.5999999999999998E-2</v>
      </c>
      <c r="D98" s="78">
        <f>+D95*C98</f>
        <v>1106.49</v>
      </c>
      <c r="E98" s="125">
        <f>+E95*C98</f>
        <v>1106.49</v>
      </c>
    </row>
    <row r="99" spans="1:5" s="30" customFormat="1" x14ac:dyDescent="0.25">
      <c r="A99" s="396"/>
      <c r="B99" s="51" t="s">
        <v>43</v>
      </c>
      <c r="C99" s="89"/>
      <c r="D99" s="201"/>
      <c r="E99" s="125"/>
    </row>
    <row r="100" spans="1:5" s="30" customFormat="1" x14ac:dyDescent="0.25">
      <c r="A100" s="396"/>
      <c r="B100" s="51" t="s">
        <v>44</v>
      </c>
      <c r="C100" s="95"/>
      <c r="D100" s="202"/>
      <c r="E100" s="125"/>
    </row>
    <row r="101" spans="1:5" s="30" customFormat="1" x14ac:dyDescent="0.25">
      <c r="A101" s="396"/>
      <c r="B101" s="50" t="s">
        <v>142</v>
      </c>
      <c r="C101" s="55">
        <v>0.05</v>
      </c>
      <c r="D101" s="78">
        <f>+D95*C101</f>
        <v>727.95</v>
      </c>
      <c r="E101" s="125">
        <f>+E95*C101</f>
        <v>727.95</v>
      </c>
    </row>
    <row r="102" spans="1:5" s="30" customFormat="1" x14ac:dyDescent="0.25">
      <c r="A102" s="273"/>
      <c r="B102" s="99" t="s">
        <v>45</v>
      </c>
      <c r="C102" s="100">
        <f>SUM(C97:C101)</f>
        <v>0.14249999999999999</v>
      </c>
      <c r="D102" s="78">
        <f>SUM(D97:D101)</f>
        <v>2074.66</v>
      </c>
      <c r="E102" s="125">
        <f>SUM(E97:E101)</f>
        <v>2074.66</v>
      </c>
    </row>
    <row r="103" spans="1:5" s="30" customFormat="1" ht="15.75" customHeight="1" x14ac:dyDescent="0.25">
      <c r="A103" s="358" t="s">
        <v>46</v>
      </c>
      <c r="B103" s="359"/>
      <c r="C103" s="359"/>
      <c r="D103" s="80">
        <f>+D92+D93+D102</f>
        <v>3208.95</v>
      </c>
      <c r="E103" s="126">
        <f>+E92+E93+E102</f>
        <v>3208.95</v>
      </c>
    </row>
    <row r="104" spans="1:5" s="30" customFormat="1" ht="15.75" customHeight="1" x14ac:dyDescent="0.25">
      <c r="A104" s="407" t="s">
        <v>47</v>
      </c>
      <c r="B104" s="408"/>
      <c r="C104" s="408"/>
      <c r="D104" s="163" t="s">
        <v>10</v>
      </c>
      <c r="E104" s="137" t="s">
        <v>10</v>
      </c>
    </row>
    <row r="105" spans="1:5" s="30" customFormat="1" x14ac:dyDescent="0.25">
      <c r="A105" s="49" t="s">
        <v>0</v>
      </c>
      <c r="B105" s="399" t="s">
        <v>48</v>
      </c>
      <c r="C105" s="399"/>
      <c r="D105" s="78">
        <f>+D24</f>
        <v>5894.6</v>
      </c>
      <c r="E105" s="125">
        <f>+E24</f>
        <v>5894.6</v>
      </c>
    </row>
    <row r="106" spans="1:5" s="30" customFormat="1" x14ac:dyDescent="0.25">
      <c r="A106" s="49" t="s">
        <v>2</v>
      </c>
      <c r="B106" s="399" t="s">
        <v>159</v>
      </c>
      <c r="C106" s="399"/>
      <c r="D106" s="78">
        <f>+D53</f>
        <v>3736.82</v>
      </c>
      <c r="E106" s="125">
        <f>+E53</f>
        <v>3736.82</v>
      </c>
    </row>
    <row r="107" spans="1:5" s="30" customFormat="1" x14ac:dyDescent="0.25">
      <c r="A107" s="49" t="s">
        <v>3</v>
      </c>
      <c r="B107" s="399" t="s">
        <v>157</v>
      </c>
      <c r="C107" s="399"/>
      <c r="D107" s="78">
        <f>D61</f>
        <v>421.47</v>
      </c>
      <c r="E107" s="125">
        <f>E61</f>
        <v>421.47</v>
      </c>
    </row>
    <row r="108" spans="1:5" s="30" customFormat="1" x14ac:dyDescent="0.25">
      <c r="A108" s="49" t="s">
        <v>5</v>
      </c>
      <c r="B108" s="440" t="s">
        <v>150</v>
      </c>
      <c r="C108" s="441"/>
      <c r="D108" s="78">
        <f>D81</f>
        <v>293.61</v>
      </c>
      <c r="E108" s="125">
        <f>E81</f>
        <v>293.61</v>
      </c>
    </row>
    <row r="109" spans="1:5" s="30" customFormat="1" x14ac:dyDescent="0.25">
      <c r="A109" s="49" t="s">
        <v>20</v>
      </c>
      <c r="B109" s="440" t="s">
        <v>158</v>
      </c>
      <c r="C109" s="441"/>
      <c r="D109" s="78">
        <f>D88</f>
        <v>1003.59</v>
      </c>
      <c r="E109" s="125">
        <f>E88</f>
        <v>1003.59</v>
      </c>
    </row>
    <row r="110" spans="1:5" s="30" customFormat="1" ht="15.75" customHeight="1" x14ac:dyDescent="0.25">
      <c r="A110" s="396" t="s">
        <v>160</v>
      </c>
      <c r="B110" s="400"/>
      <c r="C110" s="400"/>
      <c r="D110" s="101">
        <f>SUM(D105:D109)</f>
        <v>11350.09</v>
      </c>
      <c r="E110" s="138">
        <f>SUM(E105:E109)</f>
        <v>11350.09</v>
      </c>
    </row>
    <row r="111" spans="1:5" s="30" customFormat="1" x14ac:dyDescent="0.25">
      <c r="A111" s="273" t="s">
        <v>20</v>
      </c>
      <c r="B111" s="399" t="s">
        <v>161</v>
      </c>
      <c r="C111" s="399"/>
      <c r="D111" s="78">
        <f>+D103</f>
        <v>3208.95</v>
      </c>
      <c r="E111" s="125">
        <f>+E103</f>
        <v>3208.95</v>
      </c>
    </row>
    <row r="112" spans="1:5" s="30" customFormat="1" ht="16.5" customHeight="1" thickBot="1" x14ac:dyDescent="0.3">
      <c r="A112" s="393" t="s">
        <v>49</v>
      </c>
      <c r="B112" s="394"/>
      <c r="C112" s="394"/>
      <c r="D112" s="165">
        <f>+D110+D111</f>
        <v>14559.04</v>
      </c>
      <c r="E112" s="139">
        <f>+E110+E111</f>
        <v>14559.04</v>
      </c>
    </row>
    <row r="113" spans="2:5" x14ac:dyDescent="0.25">
      <c r="C113" s="31"/>
      <c r="D113" s="31"/>
      <c r="E113" s="33"/>
    </row>
    <row r="114" spans="2:5" x14ac:dyDescent="0.25">
      <c r="B114" s="28"/>
      <c r="C114" s="31"/>
      <c r="D114" s="31"/>
      <c r="E114" s="34"/>
    </row>
    <row r="115" spans="2:5" x14ac:dyDescent="0.25">
      <c r="B115" s="28"/>
      <c r="C115" s="31"/>
      <c r="D115" s="31"/>
      <c r="E115" s="34" t="s">
        <v>129</v>
      </c>
    </row>
    <row r="116" spans="2:5" x14ac:dyDescent="0.25">
      <c r="B116" s="28"/>
      <c r="C116" s="395"/>
      <c r="D116" s="395"/>
      <c r="E116" s="395"/>
    </row>
    <row r="117" spans="2:5" x14ac:dyDescent="0.25">
      <c r="B117" s="28"/>
      <c r="C117" s="31"/>
      <c r="D117" s="31"/>
      <c r="E117" s="35"/>
    </row>
    <row r="119" spans="2:5" x14ac:dyDescent="0.25">
      <c r="B119" s="36"/>
    </row>
    <row r="124" spans="2:5" x14ac:dyDescent="0.25">
      <c r="B124" s="28"/>
    </row>
  </sheetData>
  <mergeCells count="64">
    <mergeCell ref="A110:C110"/>
    <mergeCell ref="B111:C111"/>
    <mergeCell ref="A112:C112"/>
    <mergeCell ref="C116:E116"/>
    <mergeCell ref="A104:C104"/>
    <mergeCell ref="B105:C105"/>
    <mergeCell ref="B106:C106"/>
    <mergeCell ref="B107:C107"/>
    <mergeCell ref="B108:C108"/>
    <mergeCell ref="B109:C109"/>
    <mergeCell ref="A103:C103"/>
    <mergeCell ref="A82:E82"/>
    <mergeCell ref="B83:C83"/>
    <mergeCell ref="B84:C84"/>
    <mergeCell ref="B85:C85"/>
    <mergeCell ref="B86:C86"/>
    <mergeCell ref="B87:C87"/>
    <mergeCell ref="A88:C88"/>
    <mergeCell ref="A89:C89"/>
    <mergeCell ref="A90:E90"/>
    <mergeCell ref="B91:C91"/>
    <mergeCell ref="A94:A101"/>
    <mergeCell ref="A81:C81"/>
    <mergeCell ref="B55:C55"/>
    <mergeCell ref="A61:C61"/>
    <mergeCell ref="A62:E62"/>
    <mergeCell ref="B63:C63"/>
    <mergeCell ref="A70:B70"/>
    <mergeCell ref="B72:C72"/>
    <mergeCell ref="A74:B74"/>
    <mergeCell ref="A75:E75"/>
    <mergeCell ref="A76:E76"/>
    <mergeCell ref="B77:C77"/>
    <mergeCell ref="A80:B80"/>
    <mergeCell ref="A54:E54"/>
    <mergeCell ref="A25:E25"/>
    <mergeCell ref="B26:C26"/>
    <mergeCell ref="A29:B29"/>
    <mergeCell ref="A30:E30"/>
    <mergeCell ref="B31:C31"/>
    <mergeCell ref="A40:B40"/>
    <mergeCell ref="A41:E41"/>
    <mergeCell ref="B42:C42"/>
    <mergeCell ref="A48:C48"/>
    <mergeCell ref="A49:E49"/>
    <mergeCell ref="A53:C53"/>
    <mergeCell ref="A24:C24"/>
    <mergeCell ref="C6:E6"/>
    <mergeCell ref="A7:E7"/>
    <mergeCell ref="A8:E8"/>
    <mergeCell ref="A9:E9"/>
    <mergeCell ref="A10:C10"/>
    <mergeCell ref="C11:E11"/>
    <mergeCell ref="C12:E12"/>
    <mergeCell ref="C13:E13"/>
    <mergeCell ref="C14:E14"/>
    <mergeCell ref="A15:C15"/>
    <mergeCell ref="B16:C16"/>
    <mergeCell ref="D10:E10"/>
    <mergeCell ref="C5:E5"/>
    <mergeCell ref="A1:E1"/>
    <mergeCell ref="A2:E2"/>
    <mergeCell ref="C3:E3"/>
    <mergeCell ref="C4:E4"/>
  </mergeCells>
  <hyperlinks>
    <hyperlink ref="B39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20</vt:i4>
      </vt:variant>
    </vt:vector>
  </HeadingPairs>
  <TitlesOfParts>
    <vt:vector size="34" baseType="lpstr">
      <vt:lpstr>Plan2</vt:lpstr>
      <vt:lpstr>Plan3</vt:lpstr>
      <vt:lpstr>Planilha</vt:lpstr>
      <vt:lpstr>Motorista - Diurno</vt:lpstr>
      <vt:lpstr>Motorista - Noturno</vt:lpstr>
      <vt:lpstr>Técnico de Enfermagem - Diurno</vt:lpstr>
      <vt:lpstr>Técnico de Enfermagem - Noturno</vt:lpstr>
      <vt:lpstr>Enfermeiro - Diurno</vt:lpstr>
      <vt:lpstr>Enfermeiro - Noturno</vt:lpstr>
      <vt:lpstr>Médico - Diurno </vt:lpstr>
      <vt:lpstr>Médico - Noturno</vt:lpstr>
      <vt:lpstr>Uniformes</vt:lpstr>
      <vt:lpstr>Materiais</vt:lpstr>
      <vt:lpstr>Equipamentos</vt:lpstr>
      <vt:lpstr>'Enfermeiro - Diurno'!Area_de_impressao</vt:lpstr>
      <vt:lpstr>'Enfermeiro - Noturno'!Area_de_impressao</vt:lpstr>
      <vt:lpstr>Equipamentos!Area_de_impressao</vt:lpstr>
      <vt:lpstr>Materiais!Area_de_impressao</vt:lpstr>
      <vt:lpstr>'Médico - Diurno '!Area_de_impressao</vt:lpstr>
      <vt:lpstr>'Médico - Noturno'!Area_de_impressao</vt:lpstr>
      <vt:lpstr>'Motorista - Diurno'!Area_de_impressao</vt:lpstr>
      <vt:lpstr>'Motorista - Noturno'!Area_de_impressao</vt:lpstr>
      <vt:lpstr>Planilha!Area_de_impressao</vt:lpstr>
      <vt:lpstr>'Técnico de Enfermagem - Diurno'!Area_de_impressao</vt:lpstr>
      <vt:lpstr>'Técnico de Enfermagem - Noturno'!Area_de_impressao</vt:lpstr>
      <vt:lpstr>Uniformes!Area_de_impressao</vt:lpstr>
      <vt:lpstr>'Enfermeiro - Diurno'!Titulos_de_impressao</vt:lpstr>
      <vt:lpstr>'Enfermeiro - Noturno'!Titulos_de_impressao</vt:lpstr>
      <vt:lpstr>'Médico - Diurno '!Titulos_de_impressao</vt:lpstr>
      <vt:lpstr>'Médico - Noturno'!Titulos_de_impressao</vt:lpstr>
      <vt:lpstr>'Motorista - Diurno'!Titulos_de_impressao</vt:lpstr>
      <vt:lpstr>'Motorista - Noturno'!Titulos_de_impressao</vt:lpstr>
      <vt:lpstr>'Técnico de Enfermagem - Diurno'!Titulos_de_impressao</vt:lpstr>
      <vt:lpstr>'Técnico de Enfermagem - Noturno'!Titulos_de_impressao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Alline Queiroz Da Silva</cp:lastModifiedBy>
  <cp:lastPrinted>2024-12-17T12:52:26Z</cp:lastPrinted>
  <dcterms:created xsi:type="dcterms:W3CDTF">2014-04-11T01:53:38Z</dcterms:created>
  <dcterms:modified xsi:type="dcterms:W3CDTF">2024-12-17T13:05:07Z</dcterms:modified>
</cp:coreProperties>
</file>